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8955" firstSheet="2" activeTab="4"/>
  </bookViews>
  <sheets>
    <sheet name="personale 07" sheetId="1" r:id="rId1"/>
    <sheet name="Deponering og indgåede lejeafta" sheetId="2" r:id="rId2"/>
    <sheet name="selskabsdeltagelse 07" sheetId="3" r:id="rId3"/>
    <sheet name="anlægsskema regnskab 07" sheetId="4" r:id="rId4"/>
    <sheet name="Regnskabsoverførsler" sheetId="5" r:id="rId5"/>
  </sheets>
  <definedNames>
    <definedName name="_xlnm.Print_Area" localSheetId="1">'Deponering og indgåede lejeafta'!$A$1:$D$12</definedName>
    <definedName name="_xlnm.Print_Area" localSheetId="0">'personale 07'!$A$1:$I$17</definedName>
    <definedName name="_xlnm.Print_Area" localSheetId="2">'selskabsdeltagelse 07'!$A$1:$L$22</definedName>
    <definedName name="_xlnm.Print_Titles" localSheetId="3">'anlægsskema regnskab 07'!$4:$5</definedName>
  </definedNames>
  <calcPr fullCalcOnLoad="1"/>
</workbook>
</file>

<file path=xl/comments4.xml><?xml version="1.0" encoding="utf-8"?>
<comments xmlns="http://schemas.openxmlformats.org/spreadsheetml/2006/main">
  <authors>
    <author>Dorthe Andersen</author>
  </authors>
  <commentList>
    <comment ref="B51" authorId="0">
      <text>
        <r>
          <rPr>
            <b/>
            <sz val="8"/>
            <rFont val="Tahoma"/>
            <family val="0"/>
          </rPr>
          <t>Dorthe Andersen:</t>
        </r>
        <r>
          <rPr>
            <sz val="8"/>
            <rFont val="Tahoma"/>
            <family val="0"/>
          </rPr>
          <t xml:space="preserve">
Budgetafrunding 2004
</t>
        </r>
      </text>
    </comment>
  </commentList>
</comments>
</file>

<file path=xl/sharedStrings.xml><?xml version="1.0" encoding="utf-8"?>
<sst xmlns="http://schemas.openxmlformats.org/spreadsheetml/2006/main" count="263" uniqueCount="173">
  <si>
    <t>Økonomiforvaltningen</t>
  </si>
  <si>
    <t>(1.000 kr.)</t>
  </si>
  <si>
    <t>Bevilling</t>
  </si>
  <si>
    <t>Forbrug</t>
  </si>
  <si>
    <t>Afsluttet / afsluttes år</t>
  </si>
  <si>
    <t>året</t>
  </si>
  <si>
    <t>i alt</t>
  </si>
  <si>
    <t>Den boligpolitiske strategiplan 2001 - 2004.</t>
  </si>
  <si>
    <t>Infrastruktur</t>
  </si>
  <si>
    <t>Eksempelprojektet budgetomplaceret</t>
  </si>
  <si>
    <t>2006</t>
  </si>
  <si>
    <t>Eksempelprojektet arkitektkonk.</t>
  </si>
  <si>
    <t>2003</t>
  </si>
  <si>
    <t>Parkhusvej</t>
  </si>
  <si>
    <t>2005</t>
  </si>
  <si>
    <t>Ny Amager Strandpark budgetomplacering</t>
  </si>
  <si>
    <t>2004</t>
  </si>
  <si>
    <t>Midler til ekstern bistand</t>
  </si>
  <si>
    <t>2008</t>
  </si>
  <si>
    <t xml:space="preserve">Byggemodningsselskab budgetomplacret </t>
  </si>
  <si>
    <t>Bro v/Fisketorvet-Islandsbrygge</t>
  </si>
  <si>
    <t xml:space="preserve"> - indbetalinger bro v/Fisketorvet-Islandsbrygge</t>
  </si>
  <si>
    <t>2017</t>
  </si>
  <si>
    <t>Mellemfinanseiring bro Teglværksløbet</t>
  </si>
  <si>
    <t>Bro/prominade mellem Sluseholmen-Fredrikskaj</t>
  </si>
  <si>
    <t>Realdania - afsat til der findes finansiering</t>
  </si>
  <si>
    <t>Udisponeret</t>
  </si>
  <si>
    <t>Boliger til unge</t>
  </si>
  <si>
    <t>Fælles 4'eren</t>
  </si>
  <si>
    <t>Alm. familieboliger</t>
  </si>
  <si>
    <t>Annoncering</t>
  </si>
  <si>
    <t>Frivillig sammenlægning af lejligheder</t>
  </si>
  <si>
    <t>Partnerskabsområderne Remisevænget</t>
  </si>
  <si>
    <t>Partnerskabsområderne Tingbjerg</t>
  </si>
  <si>
    <t>Lejlighedssammenlægning brochure</t>
  </si>
  <si>
    <t>Kickstartpuljen</t>
  </si>
  <si>
    <t>2009</t>
  </si>
  <si>
    <t>Mjølnerparken</t>
  </si>
  <si>
    <t>Billige boliger</t>
  </si>
  <si>
    <t>Information om København som boligby</t>
  </si>
  <si>
    <t>Copenhagen X - Partnerskab</t>
  </si>
  <si>
    <t>Copenhagen X - Udstillinger</t>
  </si>
  <si>
    <t>Opzoomerne</t>
  </si>
  <si>
    <t>IFHP</t>
  </si>
  <si>
    <t xml:space="preserve">Fremme af mobiliteten </t>
  </si>
  <si>
    <t>Ældreboliger budgetomplacering</t>
  </si>
  <si>
    <t>Byudviklingspuljen</t>
  </si>
  <si>
    <t>Tingbjerg/Utterslev</t>
  </si>
  <si>
    <t>Remisevænget/Dyvekevænget</t>
  </si>
  <si>
    <t>Udvikling i fællesskaber</t>
  </si>
  <si>
    <t>Byudviklingspulje budgetomplacering</t>
  </si>
  <si>
    <t>I alt:</t>
  </si>
  <si>
    <t>Eksempelprojektet</t>
  </si>
  <si>
    <t>Nye Almene boliger</t>
  </si>
  <si>
    <t xml:space="preserve">Pulje til offentlige servicefaciliteter i </t>
  </si>
  <si>
    <t xml:space="preserve">forbindelse med nye boligområder. </t>
  </si>
  <si>
    <t>Metro Cityring - seklskabsdannelse</t>
  </si>
  <si>
    <t>Rådgiver</t>
  </si>
  <si>
    <t>2007</t>
  </si>
  <si>
    <t>Lønninger</t>
  </si>
  <si>
    <t>Anlæg i forb med kollektivtrafik</t>
  </si>
  <si>
    <t xml:space="preserve">Metroens 3. etape - suplerende arbejder </t>
  </si>
  <si>
    <t>Metroafgrening Brønshøj /Gladsaxe</t>
  </si>
  <si>
    <t>Pulje til helhedsorienteret byudvikling</t>
  </si>
  <si>
    <t>VVM Metrocityring</t>
  </si>
  <si>
    <t>Nordhavnen - Nordhavnsvejen</t>
  </si>
  <si>
    <t>Nordhavnen -</t>
  </si>
  <si>
    <r>
      <t>Metro Cityring rådgiver</t>
    </r>
    <r>
      <rPr>
        <sz val="8"/>
        <rFont val="Arial"/>
        <family val="2"/>
      </rPr>
      <t xml:space="preserve"> </t>
    </r>
  </si>
  <si>
    <t>Kommunale</t>
  </si>
  <si>
    <t>Selvejende</t>
  </si>
  <si>
    <t>Lønudgift</t>
  </si>
  <si>
    <t>Personale</t>
  </si>
  <si>
    <t>Vedtaget budget</t>
  </si>
  <si>
    <t>Regnskab</t>
  </si>
  <si>
    <t>1.000 kr.</t>
  </si>
  <si>
    <t>Årsværk</t>
  </si>
  <si>
    <t>Bevilling ØKF anlæg</t>
  </si>
  <si>
    <t>Funktion 064867</t>
  </si>
  <si>
    <t>Funktion 0645513</t>
  </si>
  <si>
    <t>Bevilling Koncernservice</t>
  </si>
  <si>
    <t>Funktion 064551</t>
  </si>
  <si>
    <t>Bevilling ØKF drift</t>
  </si>
  <si>
    <t>Funktion 064241</t>
  </si>
  <si>
    <t>Bevilling Kbh Brandvæsen</t>
  </si>
  <si>
    <t>Funktion 005895</t>
  </si>
  <si>
    <t>Udvalg i alt</t>
  </si>
  <si>
    <t>Note: mangler der linjer indsættes der blot en ekstra rækker.</t>
  </si>
  <si>
    <t>6.45.51.3 Sekretariat og forvaltning</t>
  </si>
  <si>
    <t>6.45.51.3 Sekretariat og forvaltning i alt</t>
  </si>
  <si>
    <t>Erhvervskontaktcenter</t>
  </si>
  <si>
    <t>06.48.67.3 Erhvervsservice og iværksætteri</t>
  </si>
  <si>
    <t>06.48.67.3 Erhvervsservice og iværksætteri i alt</t>
  </si>
  <si>
    <t>i tkr.</t>
  </si>
  <si>
    <t>Selskabsform</t>
  </si>
  <si>
    <t>Ansvarligt udvalg</t>
  </si>
  <si>
    <t>Indskudskapital KK</t>
  </si>
  <si>
    <t>Ejerandel</t>
  </si>
  <si>
    <t>Selskabets egenkapitl i tkr.</t>
  </si>
  <si>
    <t>værdi af ejerandel</t>
  </si>
  <si>
    <t>andel af hæftelse</t>
  </si>
  <si>
    <t>eventuelforpligtigelse i tkr.</t>
  </si>
  <si>
    <t>driftstilskud 2007 i tkr.</t>
  </si>
  <si>
    <t>Københavns Kommunes repræsentanter</t>
  </si>
  <si>
    <t>Arealudviklingsselskabet I/S</t>
  </si>
  <si>
    <t>I/S</t>
  </si>
  <si>
    <t>Økonomiudvalget</t>
  </si>
  <si>
    <t>Anne Vang, Carl Christian Ebbesen og Carsten Koch</t>
  </si>
  <si>
    <t>Metroselskabet I/S</t>
  </si>
  <si>
    <t>Camilla Burgwald, Jesper Christensen og Karin Storgaard</t>
  </si>
  <si>
    <t>Kommunekemi A/S</t>
  </si>
  <si>
    <t>A/S</t>
  </si>
  <si>
    <t>Hamid El Mousti</t>
  </si>
  <si>
    <t>Movia*</t>
  </si>
  <si>
    <t xml:space="preserve"> Jesper Christensen</t>
  </si>
  <si>
    <t>KE Varmeforsyning Holding P/S</t>
  </si>
  <si>
    <t>P/S</t>
  </si>
  <si>
    <t>Manu Sareen og Anne Vang</t>
  </si>
  <si>
    <t>KE Varmeforsyning komplementar A/S</t>
  </si>
  <si>
    <t>KE Forsyning Holding P/S</t>
  </si>
  <si>
    <t>KE Forsyning komplementar A/S</t>
  </si>
  <si>
    <t>Komplementarselskabet Sluseholmen A/S</t>
  </si>
  <si>
    <t>Winnie Larsen-Jensen og Axel Thrige Lauersen</t>
  </si>
  <si>
    <t>Byggemodningsselskabet Sluseholmen P/S</t>
  </si>
  <si>
    <t>Komplementarselskabet Prøvestenen A/S</t>
  </si>
  <si>
    <t xml:space="preserve">Jan Salling Kristensen og Morten Kabell Lundberg   </t>
  </si>
  <si>
    <t>Udviklingsselskabet Prøvestenen P/S</t>
  </si>
  <si>
    <t>Jan Salling Kristensen og Anders Thomasen</t>
  </si>
  <si>
    <t>Deponering og indgåede lejeaftaler i 2007</t>
  </si>
  <si>
    <t>1.000 Kr.</t>
  </si>
  <si>
    <t>Nye eller forbedrede lejemål hos eksterne udlejere i 2006</t>
  </si>
  <si>
    <t>BR sags nr. eller udvalg og sags nr.</t>
  </si>
  <si>
    <t>Deponeringsbeløb</t>
  </si>
  <si>
    <t>Finansiering af deponeringsbeløbet</t>
  </si>
  <si>
    <t>Deponering Østerbro Lokaludvalg, Randersgade 35, parterre</t>
  </si>
  <si>
    <t>BR 618/07</t>
  </si>
  <si>
    <t>Mindreforbrug på puljemidler, område nr. 2110</t>
  </si>
  <si>
    <t>Note: mangler der linjer indsættes der blot en ekstra række - kun de hvide felter udfyldes.</t>
  </si>
  <si>
    <t>Selskabsoversigt 2007, Økonomiudvalget</t>
  </si>
  <si>
    <t xml:space="preserve"> Anlægsoversigt 2007 inkl. Overførsler fra 2006, Økonomiudvalget</t>
  </si>
  <si>
    <t>Udvalg: Økonomiudvalget</t>
  </si>
  <si>
    <t>Personaleoversigt  Økonomiudvalget</t>
  </si>
  <si>
    <t>Bilag 1 - Forslag om regnskabsoverførsler af midler</t>
  </si>
  <si>
    <t>Bevillingstype</t>
  </si>
  <si>
    <t>Bevillingsnavn</t>
  </si>
  <si>
    <t>IM-Konto</t>
  </si>
  <si>
    <t>Beløb (hele kr.)</t>
  </si>
  <si>
    <t>BR sag med konkret beskrivelse</t>
  </si>
  <si>
    <t>Markering, hvis aktiviteten er igangsat</t>
  </si>
  <si>
    <t xml:space="preserve">Overførsel </t>
  </si>
  <si>
    <t>ÅR 2007</t>
  </si>
  <si>
    <t>Forventet mindreforbrug på "Helhedsorienteret byudvukling" i 2007 forventes først igagsat i 2008</t>
  </si>
  <si>
    <t>Økonomisk forvaltning, anlæg</t>
  </si>
  <si>
    <t>Sekretariat og forvaltninger</t>
  </si>
  <si>
    <t>6.45.51.3</t>
  </si>
  <si>
    <t>BR 477/06</t>
  </si>
  <si>
    <t>Forventet mindreforbrug på etablering af Erhvervscenter i 2007, der er igangsat i 2007 men først afsluttes medio 2008</t>
  </si>
  <si>
    <t>BR 28/07</t>
  </si>
  <si>
    <t>x</t>
  </si>
  <si>
    <t>Forventet midreforbrug på puljen til jordkøb i 2007, forventes først udmøntet i 2008.</t>
  </si>
  <si>
    <t>Fælles anlægspuljer</t>
  </si>
  <si>
    <t>Forventet mindreforbrug på konsulenter til projektet på Kløvermarken, der er igangsat i 2007 men først afsluttes i 2008</t>
  </si>
  <si>
    <t>Salg af rettigheder m.v.</t>
  </si>
  <si>
    <t>Ubestemte formål</t>
  </si>
  <si>
    <t>0.22.05.3</t>
  </si>
  <si>
    <t>BR 505/07</t>
  </si>
  <si>
    <t>Økonomiudvalget i alt til 2007</t>
  </si>
  <si>
    <t>ÅR 2008</t>
  </si>
  <si>
    <t xml:space="preserve">Overførsel af midler til Helhedsorienteret byudvikling, forventes igangsat i 2008 </t>
  </si>
  <si>
    <t>Overførsel af midler til etalering af erhvervscenter, der er igangsat i 2007 men afsluttes først medio 2008</t>
  </si>
  <si>
    <t>Overførsel af midler til jordkøb, forventes udmøntet i 2008</t>
  </si>
  <si>
    <t>Overførsel af midler til konsulenter til projektet på Kløvermarken, der er igangsat i 2007 men først afsluttes i 2008</t>
  </si>
  <si>
    <t>Økonomiudvalget i alt til 2008</t>
  </si>
  <si>
    <r>
      <t xml:space="preserve">Markering, hvis udgift er </t>
    </r>
    <r>
      <rPr>
        <b/>
        <u val="single"/>
        <sz val="9"/>
        <rFont val="Arial"/>
        <family val="2"/>
      </rPr>
      <t>serviceudgift</t>
    </r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</si>
</sst>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  <numFmt numFmtId="168" formatCode="#,##0.000"/>
    <numFmt numFmtId="169" formatCode="_(* #,##0.0_);_(* \(#,##0.0\);_(* &quot;-&quot;??_);_(@_)"/>
    <numFmt numFmtId="170" formatCode="_(* #,##0_);_(* \(#,##0\);_(* &quot;-&quot;??_);_(@_)"/>
  </numFmts>
  <fonts count="2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b/>
      <i/>
      <sz val="11"/>
      <name val="Times New Roman"/>
      <family val="1"/>
    </font>
    <font>
      <sz val="14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/>
    </xf>
    <xf numFmtId="0" fontId="6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/>
    </xf>
    <xf numFmtId="3" fontId="8" fillId="0" borderId="6" xfId="0" applyNumberFormat="1" applyFont="1" applyBorder="1" applyAlignment="1">
      <alignment horizontal="right" vertical="top" wrapText="1"/>
    </xf>
    <xf numFmtId="0" fontId="6" fillId="0" borderId="6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 horizontal="center"/>
    </xf>
    <xf numFmtId="3" fontId="0" fillId="0" borderId="6" xfId="0" applyNumberFormat="1" applyFill="1" applyBorder="1" applyAlignment="1">
      <alignment/>
    </xf>
    <xf numFmtId="3" fontId="8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3" fontId="0" fillId="0" borderId="6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/>
    </xf>
    <xf numFmtId="0" fontId="8" fillId="0" borderId="6" xfId="0" applyFont="1" applyFill="1" applyBorder="1" applyAlignment="1">
      <alignment/>
    </xf>
    <xf numFmtId="3" fontId="8" fillId="0" borderId="6" xfId="0" applyNumberFormat="1" applyFont="1" applyFill="1" applyBorder="1" applyAlignment="1">
      <alignment horizontal="right"/>
    </xf>
    <xf numFmtId="0" fontId="6" fillId="0" borderId="6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6" xfId="0" applyFill="1" applyBorder="1" applyAlignment="1">
      <alignment/>
    </xf>
    <xf numFmtId="3" fontId="0" fillId="0" borderId="6" xfId="0" applyNumberFormat="1" applyFill="1" applyBorder="1" applyAlignment="1">
      <alignment horizontal="right"/>
    </xf>
    <xf numFmtId="49" fontId="0" fillId="0" borderId="6" xfId="0" applyNumberFormat="1" applyFill="1" applyBorder="1" applyAlignment="1">
      <alignment horizontal="center"/>
    </xf>
    <xf numFmtId="3" fontId="5" fillId="0" borderId="2" xfId="0" applyNumberFormat="1" applyFont="1" applyBorder="1" applyAlignment="1">
      <alignment horizontal="right" vertical="top" wrapText="1"/>
    </xf>
    <xf numFmtId="3" fontId="6" fillId="0" borderId="2" xfId="0" applyNumberFormat="1" applyFont="1" applyBorder="1" applyAlignment="1">
      <alignment horizontal="right" vertical="top" wrapText="1"/>
    </xf>
    <xf numFmtId="0" fontId="0" fillId="0" borderId="7" xfId="0" applyBorder="1" applyAlignment="1">
      <alignment/>
    </xf>
    <xf numFmtId="0" fontId="11" fillId="2" borderId="8" xfId="19" applyFont="1" applyFill="1" applyBorder="1" applyAlignment="1">
      <alignment horizontal="center"/>
      <protection/>
    </xf>
    <xf numFmtId="0" fontId="11" fillId="2" borderId="9" xfId="19" applyFont="1" applyFill="1" applyBorder="1" applyAlignment="1">
      <alignment horizontal="center"/>
      <protection/>
    </xf>
    <xf numFmtId="0" fontId="11" fillId="2" borderId="10" xfId="19" applyFont="1" applyFill="1" applyBorder="1" applyAlignment="1">
      <alignment horizontal="center"/>
      <protection/>
    </xf>
    <xf numFmtId="0" fontId="13" fillId="0" borderId="11" xfId="19" applyFont="1" applyBorder="1" applyAlignment="1">
      <alignment horizontal="left" indent="1"/>
      <protection/>
    </xf>
    <xf numFmtId="3" fontId="11" fillId="0" borderId="12" xfId="19" applyNumberFormat="1" applyFont="1" applyBorder="1">
      <alignment/>
      <protection/>
    </xf>
    <xf numFmtId="3" fontId="11" fillId="0" borderId="13" xfId="19" applyNumberFormat="1" applyFont="1" applyBorder="1">
      <alignment/>
      <protection/>
    </xf>
    <xf numFmtId="3" fontId="11" fillId="0" borderId="1" xfId="19" applyNumberFormat="1" applyFont="1" applyBorder="1">
      <alignment/>
      <protection/>
    </xf>
    <xf numFmtId="0" fontId="11" fillId="0" borderId="0" xfId="19" applyFont="1">
      <alignment/>
      <protection/>
    </xf>
    <xf numFmtId="0" fontId="11" fillId="0" borderId="4" xfId="19" applyFont="1" applyBorder="1">
      <alignment/>
      <protection/>
    </xf>
    <xf numFmtId="0" fontId="14" fillId="0" borderId="11" xfId="19" applyFont="1" applyBorder="1" applyAlignment="1">
      <alignment horizontal="left" indent="2"/>
      <protection/>
    </xf>
    <xf numFmtId="3" fontId="11" fillId="0" borderId="11" xfId="19" applyNumberFormat="1" applyFont="1" applyBorder="1">
      <alignment/>
      <protection/>
    </xf>
    <xf numFmtId="3" fontId="11" fillId="0" borderId="0" xfId="19" applyNumberFormat="1" applyFont="1" applyBorder="1">
      <alignment/>
      <protection/>
    </xf>
    <xf numFmtId="3" fontId="11" fillId="0" borderId="4" xfId="19" applyNumberFormat="1" applyFont="1" applyBorder="1">
      <alignment/>
      <protection/>
    </xf>
    <xf numFmtId="0" fontId="12" fillId="0" borderId="11" xfId="19" applyFont="1" applyBorder="1" applyAlignment="1">
      <alignment horizontal="left" indent="1"/>
      <protection/>
    </xf>
    <xf numFmtId="0" fontId="11" fillId="0" borderId="11" xfId="19" applyBorder="1">
      <alignment/>
      <protection/>
    </xf>
    <xf numFmtId="0" fontId="11" fillId="0" borderId="0" xfId="19" applyBorder="1">
      <alignment/>
      <protection/>
    </xf>
    <xf numFmtId="0" fontId="11" fillId="0" borderId="4" xfId="19" applyBorder="1">
      <alignment/>
      <protection/>
    </xf>
    <xf numFmtId="0" fontId="11" fillId="0" borderId="0" xfId="19" applyFont="1" applyBorder="1">
      <alignment/>
      <protection/>
    </xf>
    <xf numFmtId="0" fontId="6" fillId="0" borderId="14" xfId="19" applyFont="1" applyBorder="1">
      <alignment/>
      <protection/>
    </xf>
    <xf numFmtId="3" fontId="11" fillId="0" borderId="14" xfId="19" applyNumberFormat="1" applyFont="1" applyBorder="1">
      <alignment/>
      <protection/>
    </xf>
    <xf numFmtId="3" fontId="11" fillId="0" borderId="15" xfId="19" applyNumberFormat="1" applyFont="1" applyBorder="1">
      <alignment/>
      <protection/>
    </xf>
    <xf numFmtId="3" fontId="11" fillId="0" borderId="2" xfId="19" applyNumberFormat="1" applyFont="1" applyBorder="1">
      <alignment/>
      <protection/>
    </xf>
    <xf numFmtId="0" fontId="11" fillId="0" borderId="15" xfId="19" applyFont="1" applyBorder="1">
      <alignment/>
      <protection/>
    </xf>
    <xf numFmtId="0" fontId="11" fillId="0" borderId="2" xfId="19" applyFont="1" applyBorder="1">
      <alignment/>
      <protection/>
    </xf>
    <xf numFmtId="0" fontId="15" fillId="0" borderId="0" xfId="19" applyFont="1" applyProtection="1">
      <alignment/>
      <protection/>
    </xf>
    <xf numFmtId="0" fontId="11" fillId="0" borderId="0" xfId="19">
      <alignment/>
      <protection/>
    </xf>
    <xf numFmtId="0" fontId="6" fillId="0" borderId="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3" fontId="8" fillId="0" borderId="17" xfId="0" applyNumberFormat="1" applyFont="1" applyBorder="1" applyAlignment="1">
      <alignment horizontal="right" vertical="top" wrapText="1"/>
    </xf>
    <xf numFmtId="3" fontId="0" fillId="0" borderId="17" xfId="0" applyNumberFormat="1" applyBorder="1" applyAlignment="1">
      <alignment/>
    </xf>
    <xf numFmtId="3" fontId="0" fillId="0" borderId="17" xfId="0" applyNumberFormat="1" applyFill="1" applyBorder="1" applyAlignment="1">
      <alignment/>
    </xf>
    <xf numFmtId="3" fontId="0" fillId="3" borderId="17" xfId="0" applyNumberFormat="1" applyFill="1" applyBorder="1" applyAlignment="1">
      <alignment/>
    </xf>
    <xf numFmtId="3" fontId="0" fillId="0" borderId="17" xfId="0" applyNumberFormat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8" fillId="0" borderId="17" xfId="0" applyNumberFormat="1" applyFont="1" applyFill="1" applyBorder="1" applyAlignment="1">
      <alignment horizontal="right"/>
    </xf>
    <xf numFmtId="3" fontId="0" fillId="0" borderId="17" xfId="0" applyNumberFormat="1" applyFill="1" applyBorder="1" applyAlignment="1">
      <alignment horizontal="right"/>
    </xf>
    <xf numFmtId="0" fontId="16" fillId="0" borderId="10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70" fontId="0" fillId="0" borderId="0" xfId="15" applyNumberFormat="1" applyAlignment="1">
      <alignment/>
    </xf>
    <xf numFmtId="9" fontId="0" fillId="0" borderId="0" xfId="21" applyAlignment="1">
      <alignment horizontal="right"/>
    </xf>
    <xf numFmtId="9" fontId="0" fillId="0" borderId="0" xfId="21" applyAlignment="1">
      <alignment/>
    </xf>
    <xf numFmtId="9" fontId="0" fillId="0" borderId="0" xfId="21" applyFont="1" applyAlignment="1">
      <alignment horizontal="right"/>
    </xf>
    <xf numFmtId="0" fontId="11" fillId="0" borderId="0" xfId="20">
      <alignment/>
      <protection/>
    </xf>
    <xf numFmtId="0" fontId="11" fillId="2" borderId="18" xfId="20" applyFill="1" applyBorder="1">
      <alignment/>
      <protection/>
    </xf>
    <xf numFmtId="0" fontId="11" fillId="2" borderId="19" xfId="20" applyFill="1" applyBorder="1" applyAlignment="1">
      <alignment vertical="top"/>
      <protection/>
    </xf>
    <xf numFmtId="0" fontId="11" fillId="2" borderId="20" xfId="20" applyFill="1" applyBorder="1" applyAlignment="1">
      <alignment vertical="top"/>
      <protection/>
    </xf>
    <xf numFmtId="0" fontId="11" fillId="2" borderId="21" xfId="20" applyFill="1" applyBorder="1">
      <alignment/>
      <protection/>
    </xf>
    <xf numFmtId="0" fontId="11" fillId="2" borderId="22" xfId="20" applyFill="1" applyBorder="1" applyAlignment="1">
      <alignment vertical="top"/>
      <protection/>
    </xf>
    <xf numFmtId="0" fontId="11" fillId="2" borderId="23" xfId="20" applyFill="1" applyBorder="1" applyAlignment="1">
      <alignment vertical="top"/>
      <protection/>
    </xf>
    <xf numFmtId="0" fontId="11" fillId="2" borderId="24" xfId="20" applyFill="1" applyBorder="1" applyAlignment="1">
      <alignment horizontal="center" vertical="center" wrapText="1"/>
      <protection/>
    </xf>
    <xf numFmtId="0" fontId="11" fillId="2" borderId="24" xfId="20" applyFill="1" applyBorder="1" applyAlignment="1">
      <alignment horizontal="center" vertical="center"/>
      <protection/>
    </xf>
    <xf numFmtId="0" fontId="11" fillId="0" borderId="24" xfId="20" applyBorder="1">
      <alignment/>
      <protection/>
    </xf>
    <xf numFmtId="3" fontId="11" fillId="0" borderId="24" xfId="20" applyNumberFormat="1" applyBorder="1">
      <alignment/>
      <protection/>
    </xf>
    <xf numFmtId="0" fontId="15" fillId="0" borderId="0" xfId="20" applyFont="1" applyProtection="1">
      <alignment/>
      <protection/>
    </xf>
    <xf numFmtId="0" fontId="8" fillId="0" borderId="22" xfId="0" applyFont="1" applyBorder="1" applyAlignment="1">
      <alignment wrapText="1"/>
    </xf>
    <xf numFmtId="0" fontId="8" fillId="0" borderId="22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2" borderId="25" xfId="19" applyFont="1" applyFill="1" applyBorder="1" applyAlignment="1">
      <alignment horizontal="center"/>
      <protection/>
    </xf>
    <xf numFmtId="0" fontId="11" fillId="2" borderId="26" xfId="19" applyFont="1" applyFill="1" applyBorder="1" applyAlignment="1">
      <alignment horizontal="center"/>
      <protection/>
    </xf>
    <xf numFmtId="0" fontId="11" fillId="2" borderId="27" xfId="19" applyFont="1" applyFill="1" applyBorder="1" applyAlignment="1">
      <alignment horizontal="center"/>
      <protection/>
    </xf>
    <xf numFmtId="0" fontId="12" fillId="2" borderId="8" xfId="19" applyFont="1" applyFill="1" applyBorder="1" applyAlignment="1">
      <alignment horizontal="center" vertical="center"/>
      <protection/>
    </xf>
    <xf numFmtId="0" fontId="12" fillId="2" borderId="9" xfId="19" applyFont="1" applyFill="1" applyBorder="1" applyAlignment="1">
      <alignment horizontal="center" vertical="center"/>
      <protection/>
    </xf>
    <xf numFmtId="0" fontId="12" fillId="2" borderId="10" xfId="19" applyFont="1" applyFill="1" applyBorder="1" applyAlignment="1">
      <alignment horizontal="center" vertical="center"/>
      <protection/>
    </xf>
    <xf numFmtId="0" fontId="17" fillId="2" borderId="28" xfId="20" applyFont="1" applyFill="1" applyBorder="1" applyAlignment="1">
      <alignment horizontal="center" vertical="center"/>
      <protection/>
    </xf>
    <xf numFmtId="0" fontId="17" fillId="2" borderId="29" xfId="20" applyFont="1" applyFill="1" applyBorder="1" applyAlignment="1">
      <alignment horizontal="center" vertical="center"/>
      <protection/>
    </xf>
    <xf numFmtId="0" fontId="17" fillId="2" borderId="30" xfId="20" applyFont="1" applyFill="1" applyBorder="1" applyAlignment="1">
      <alignment horizontal="center" vertical="center"/>
      <protection/>
    </xf>
    <xf numFmtId="0" fontId="4" fillId="0" borderId="28" xfId="20" applyFont="1" applyBorder="1" applyAlignment="1">
      <alignment/>
      <protection/>
    </xf>
    <xf numFmtId="0" fontId="3" fillId="0" borderId="29" xfId="20" applyFont="1" applyBorder="1" applyAlignment="1">
      <alignment/>
      <protection/>
    </xf>
    <xf numFmtId="0" fontId="3" fillId="0" borderId="30" xfId="20" applyFont="1" applyBorder="1" applyAlignment="1">
      <alignment/>
      <protection/>
    </xf>
    <xf numFmtId="0" fontId="3" fillId="0" borderId="8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3" xfId="0" applyFont="1" applyBorder="1" applyAlignment="1">
      <alignment/>
    </xf>
    <xf numFmtId="0" fontId="18" fillId="0" borderId="26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49" fontId="18" fillId="3" borderId="31" xfId="0" applyNumberFormat="1" applyFont="1" applyFill="1" applyBorder="1" applyAlignment="1">
      <alignment horizontal="center" vertical="center" wrapText="1"/>
    </xf>
    <xf numFmtId="49" fontId="18" fillId="3" borderId="3" xfId="0" applyNumberFormat="1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vertical="top" wrapText="1"/>
    </xf>
    <xf numFmtId="0" fontId="18" fillId="2" borderId="0" xfId="0" applyFont="1" applyFill="1" applyBorder="1" applyAlignment="1">
      <alignment horizontal="center" vertical="top" wrapText="1"/>
    </xf>
    <xf numFmtId="0" fontId="18" fillId="2" borderId="9" xfId="0" applyFont="1" applyFill="1" applyBorder="1" applyAlignment="1">
      <alignment horizontal="center" vertical="top" wrapText="1"/>
    </xf>
    <xf numFmtId="0" fontId="18" fillId="2" borderId="4" xfId="0" applyFont="1" applyFill="1" applyBorder="1" applyAlignment="1">
      <alignment horizontal="center" vertical="top" wrapText="1"/>
    </xf>
    <xf numFmtId="0" fontId="19" fillId="2" borderId="8" xfId="0" applyFont="1" applyFill="1" applyBorder="1" applyAlignment="1">
      <alignment/>
    </xf>
    <xf numFmtId="0" fontId="21" fillId="4" borderId="3" xfId="0" applyFont="1" applyFill="1" applyBorder="1" applyAlignment="1">
      <alignment vertical="top" wrapText="1"/>
    </xf>
    <xf numFmtId="0" fontId="19" fillId="4" borderId="26" xfId="0" applyFont="1" applyFill="1" applyBorder="1" applyAlignment="1">
      <alignment vertical="top" wrapText="1"/>
    </xf>
    <xf numFmtId="0" fontId="19" fillId="4" borderId="3" xfId="0" applyFont="1" applyFill="1" applyBorder="1" applyAlignment="1">
      <alignment vertical="top" wrapText="1"/>
    </xf>
    <xf numFmtId="0" fontId="18" fillId="4" borderId="27" xfId="0" applyFont="1" applyFill="1" applyBorder="1" applyAlignment="1">
      <alignment horizontal="center" vertical="top" wrapText="1"/>
    </xf>
    <xf numFmtId="0" fontId="19" fillId="4" borderId="27" xfId="0" applyFont="1" applyFill="1" applyBorder="1" applyAlignment="1">
      <alignment horizontal="right" vertical="top" wrapText="1"/>
    </xf>
    <xf numFmtId="0" fontId="19" fillId="4" borderId="26" xfId="0" applyFont="1" applyFill="1" applyBorder="1" applyAlignment="1">
      <alignment horizontal="right" vertical="top" wrapText="1"/>
    </xf>
    <xf numFmtId="0" fontId="19" fillId="4" borderId="3" xfId="0" applyFont="1" applyFill="1" applyBorder="1" applyAlignment="1">
      <alignment/>
    </xf>
    <xf numFmtId="0" fontId="22" fillId="0" borderId="9" xfId="0" applyFont="1" applyBorder="1" applyAlignment="1">
      <alignment vertical="top" wrapText="1"/>
    </xf>
    <xf numFmtId="0" fontId="19" fillId="0" borderId="0" xfId="0" applyFont="1" applyAlignment="1">
      <alignment vertical="justify"/>
    </xf>
    <xf numFmtId="0" fontId="19" fillId="0" borderId="9" xfId="0" applyFont="1" applyBorder="1" applyAlignment="1">
      <alignment vertical="top" wrapText="1"/>
    </xf>
    <xf numFmtId="0" fontId="19" fillId="0" borderId="4" xfId="0" applyFont="1" applyBorder="1" applyAlignment="1">
      <alignment horizontal="center" vertical="top" wrapText="1"/>
    </xf>
    <xf numFmtId="3" fontId="19" fillId="0" borderId="4" xfId="16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19" fillId="0" borderId="9" xfId="0" applyFont="1" applyBorder="1" applyAlignment="1">
      <alignment/>
    </xf>
    <xf numFmtId="0" fontId="19" fillId="0" borderId="0" xfId="0" applyFont="1" applyBorder="1" applyAlignment="1">
      <alignment vertical="top" wrapText="1"/>
    </xf>
    <xf numFmtId="0" fontId="18" fillId="0" borderId="32" xfId="0" applyFont="1" applyBorder="1" applyAlignment="1">
      <alignment vertical="top" wrapText="1"/>
    </xf>
    <xf numFmtId="0" fontId="18" fillId="0" borderId="33" xfId="0" applyFont="1" applyBorder="1" applyAlignment="1">
      <alignment vertical="top" wrapText="1"/>
    </xf>
    <xf numFmtId="0" fontId="18" fillId="0" borderId="33" xfId="0" applyFont="1" applyBorder="1" applyAlignment="1">
      <alignment horizontal="center" vertical="top" wrapText="1"/>
    </xf>
    <xf numFmtId="3" fontId="18" fillId="0" borderId="33" xfId="0" applyNumberFormat="1" applyFont="1" applyBorder="1" applyAlignment="1">
      <alignment horizontal="right" vertical="top" wrapText="1"/>
    </xf>
    <xf numFmtId="0" fontId="18" fillId="0" borderId="29" xfId="0" applyFont="1" applyBorder="1" applyAlignment="1">
      <alignment horizontal="right" vertical="top" wrapText="1"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/>
    </xf>
    <xf numFmtId="3" fontId="19" fillId="4" borderId="27" xfId="16" applyFont="1" applyFill="1" applyBorder="1" applyAlignment="1">
      <alignment horizontal="right" vertical="top" wrapText="1"/>
    </xf>
    <xf numFmtId="0" fontId="19" fillId="0" borderId="4" xfId="0" applyFont="1" applyBorder="1" applyAlignment="1">
      <alignment horizontal="right" vertical="top" wrapText="1"/>
    </xf>
  </cellXfs>
  <cellStyles count="9">
    <cellStyle name="Normal" xfId="0"/>
    <cellStyle name="Comma" xfId="15"/>
    <cellStyle name="1000-sep (2 dec)_Forslag til regnskabsoverføsler 2007 til 2008" xfId="16"/>
    <cellStyle name="Comma [0]" xfId="17"/>
    <cellStyle name="Currency [0]" xfId="18"/>
    <cellStyle name="Normal_Ark1" xfId="19"/>
    <cellStyle name="Normal_Dok nr 2008-36971 - Obligatoriskeoversigterskabeloner - CBS 210108" xfId="20"/>
    <cellStyle name="Percent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17</xdr:row>
      <xdr:rowOff>114300</xdr:rowOff>
    </xdr:from>
    <xdr:to>
      <xdr:col>4</xdr:col>
      <xdr:colOff>209550</xdr:colOff>
      <xdr:row>20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2425" y="4362450"/>
          <a:ext cx="47720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 Ejerandelen er ansloget på basis af Københavns Kommunens a conto bidrag til Movia i forhold til alle kommuner og regioners a conto bidreg til Movia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D20" sqref="D20"/>
    </sheetView>
  </sheetViews>
  <sheetFormatPr defaultColWidth="9.140625" defaultRowHeight="12.75"/>
  <cols>
    <col min="1" max="1" width="30.28125" style="0" customWidth="1"/>
    <col min="2" max="3" width="13.8515625" style="0" bestFit="1" customWidth="1"/>
    <col min="4" max="4" width="11.7109375" style="0" customWidth="1"/>
    <col min="5" max="5" width="12.00390625" style="0" customWidth="1"/>
    <col min="6" max="7" width="13.8515625" style="0" bestFit="1" customWidth="1"/>
    <col min="8" max="8" width="12.421875" style="0" customWidth="1"/>
    <col min="9" max="9" width="11.57421875" style="0" customWidth="1"/>
  </cols>
  <sheetData>
    <row r="1" spans="1:9" ht="13.5" thickBot="1">
      <c r="A1" s="99" t="s">
        <v>140</v>
      </c>
      <c r="B1" s="96" t="s">
        <v>68</v>
      </c>
      <c r="C1" s="97"/>
      <c r="D1" s="97"/>
      <c r="E1" s="98"/>
      <c r="F1" s="96" t="s">
        <v>69</v>
      </c>
      <c r="G1" s="97"/>
      <c r="H1" s="97"/>
      <c r="I1" s="98"/>
    </row>
    <row r="2" spans="1:9" ht="12.75">
      <c r="A2" s="100"/>
      <c r="B2" s="35" t="s">
        <v>70</v>
      </c>
      <c r="C2" s="35" t="s">
        <v>71</v>
      </c>
      <c r="D2" s="35" t="s">
        <v>70</v>
      </c>
      <c r="E2" s="35" t="s">
        <v>71</v>
      </c>
      <c r="F2" s="35" t="s">
        <v>70</v>
      </c>
      <c r="G2" s="35" t="s">
        <v>71</v>
      </c>
      <c r="H2" s="35" t="s">
        <v>70</v>
      </c>
      <c r="I2" s="35" t="s">
        <v>71</v>
      </c>
    </row>
    <row r="3" spans="1:9" ht="12.75">
      <c r="A3" s="100"/>
      <c r="B3" s="36" t="s">
        <v>72</v>
      </c>
      <c r="C3" s="36" t="s">
        <v>72</v>
      </c>
      <c r="D3" s="36" t="s">
        <v>73</v>
      </c>
      <c r="E3" s="36" t="s">
        <v>73</v>
      </c>
      <c r="F3" s="36" t="s">
        <v>72</v>
      </c>
      <c r="G3" s="36" t="s">
        <v>72</v>
      </c>
      <c r="H3" s="36" t="s">
        <v>73</v>
      </c>
      <c r="I3" s="36" t="s">
        <v>73</v>
      </c>
    </row>
    <row r="4" spans="1:9" ht="13.5" thickBot="1">
      <c r="A4" s="101"/>
      <c r="B4" s="36" t="s">
        <v>74</v>
      </c>
      <c r="C4" s="36" t="s">
        <v>75</v>
      </c>
      <c r="D4" s="36" t="s">
        <v>74</v>
      </c>
      <c r="E4" s="36" t="s">
        <v>75</v>
      </c>
      <c r="F4" s="37" t="s">
        <v>74</v>
      </c>
      <c r="G4" s="37" t="s">
        <v>75</v>
      </c>
      <c r="H4" s="37" t="s">
        <v>74</v>
      </c>
      <c r="I4" s="37" t="s">
        <v>75</v>
      </c>
    </row>
    <row r="5" spans="1:9" ht="13.5">
      <c r="A5" s="38" t="s">
        <v>76</v>
      </c>
      <c r="B5" s="39"/>
      <c r="C5" s="40"/>
      <c r="D5" s="40"/>
      <c r="E5" s="41"/>
      <c r="F5" s="42"/>
      <c r="G5" s="42"/>
      <c r="H5" s="42"/>
      <c r="I5" s="43"/>
    </row>
    <row r="6" spans="1:9" ht="12.75">
      <c r="A6" s="44" t="s">
        <v>77</v>
      </c>
      <c r="B6" s="45">
        <v>0</v>
      </c>
      <c r="C6" s="46">
        <v>0</v>
      </c>
      <c r="D6" s="46">
        <v>796</v>
      </c>
      <c r="E6" s="47">
        <v>1</v>
      </c>
      <c r="F6" s="42"/>
      <c r="G6" s="42"/>
      <c r="H6" s="42"/>
      <c r="I6" s="43"/>
    </row>
    <row r="7" spans="1:9" ht="12.75">
      <c r="A7" s="44" t="s">
        <v>78</v>
      </c>
      <c r="B7" s="45">
        <v>0</v>
      </c>
      <c r="C7" s="46">
        <v>0</v>
      </c>
      <c r="D7" s="46">
        <v>1712</v>
      </c>
      <c r="E7" s="47">
        <v>4</v>
      </c>
      <c r="F7" s="42"/>
      <c r="G7" s="42"/>
      <c r="H7" s="42"/>
      <c r="I7" s="43"/>
    </row>
    <row r="8" spans="1:9" ht="12.75">
      <c r="A8" s="48" t="s">
        <v>79</v>
      </c>
      <c r="B8" s="49"/>
      <c r="C8" s="50"/>
      <c r="D8" s="50"/>
      <c r="E8" s="51"/>
      <c r="F8" s="42"/>
      <c r="G8" s="42"/>
      <c r="H8" s="42"/>
      <c r="I8" s="43"/>
    </row>
    <row r="9" spans="1:9" ht="12.75">
      <c r="A9" s="44" t="s">
        <v>80</v>
      </c>
      <c r="B9" s="45">
        <v>0</v>
      </c>
      <c r="C9" s="46">
        <v>0</v>
      </c>
      <c r="D9" s="46">
        <v>103747</v>
      </c>
      <c r="E9" s="47">
        <v>221</v>
      </c>
      <c r="F9" s="42"/>
      <c r="G9" s="42"/>
      <c r="H9" s="42"/>
      <c r="I9" s="43"/>
    </row>
    <row r="10" spans="1:9" ht="12.75">
      <c r="A10" s="48" t="s">
        <v>81</v>
      </c>
      <c r="B10" s="45"/>
      <c r="C10" s="46"/>
      <c r="D10" s="46"/>
      <c r="E10" s="47"/>
      <c r="F10" s="42"/>
      <c r="G10" s="42"/>
      <c r="H10" s="42"/>
      <c r="I10" s="43"/>
    </row>
    <row r="11" spans="1:9" ht="12.75">
      <c r="A11" s="44" t="s">
        <v>80</v>
      </c>
      <c r="B11" s="45">
        <v>156133</v>
      </c>
      <c r="C11" s="46">
        <v>380</v>
      </c>
      <c r="D11" s="46">
        <v>157841</v>
      </c>
      <c r="E11" s="47">
        <v>308</v>
      </c>
      <c r="F11" s="42"/>
      <c r="G11" s="42"/>
      <c r="H11" s="42"/>
      <c r="I11" s="43"/>
    </row>
    <row r="12" spans="1:9" ht="12.75">
      <c r="A12" s="44" t="s">
        <v>82</v>
      </c>
      <c r="B12" s="45">
        <v>12628</v>
      </c>
      <c r="C12" s="46">
        <v>0</v>
      </c>
      <c r="D12" s="46">
        <v>18005</v>
      </c>
      <c r="E12" s="47">
        <v>78</v>
      </c>
      <c r="F12" s="52"/>
      <c r="G12" s="52"/>
      <c r="H12" s="52"/>
      <c r="I12" s="43"/>
    </row>
    <row r="13" spans="1:9" ht="13.5">
      <c r="A13" s="38" t="s">
        <v>83</v>
      </c>
      <c r="B13" s="45"/>
      <c r="C13" s="46"/>
      <c r="D13" s="46"/>
      <c r="E13" s="47"/>
      <c r="F13" s="52"/>
      <c r="G13" s="52"/>
      <c r="H13" s="52"/>
      <c r="I13" s="43"/>
    </row>
    <row r="14" spans="1:9" ht="12.75">
      <c r="A14" s="44" t="s">
        <v>84</v>
      </c>
      <c r="B14" s="45">
        <v>291178</v>
      </c>
      <c r="C14" s="46">
        <v>841</v>
      </c>
      <c r="D14" s="46">
        <v>286635</v>
      </c>
      <c r="E14" s="47">
        <v>818</v>
      </c>
      <c r="F14" s="52"/>
      <c r="G14" s="52"/>
      <c r="H14" s="52"/>
      <c r="I14" s="43"/>
    </row>
    <row r="15" spans="1:9" ht="15" thickBot="1">
      <c r="A15" s="53" t="s">
        <v>85</v>
      </c>
      <c r="B15" s="54">
        <f>SUM(B5:B14)</f>
        <v>459939</v>
      </c>
      <c r="C15" s="55">
        <f>SUM(C5:C14)</f>
        <v>1221</v>
      </c>
      <c r="D15" s="55">
        <f>SUM(D5:D14)</f>
        <v>568736</v>
      </c>
      <c r="E15" s="56">
        <f>SUM(E5:E14)</f>
        <v>1430</v>
      </c>
      <c r="F15" s="57"/>
      <c r="G15" s="57"/>
      <c r="H15" s="57"/>
      <c r="I15" s="58"/>
    </row>
    <row r="16" spans="1:9" ht="12.75">
      <c r="A16" s="59" t="s">
        <v>86</v>
      </c>
      <c r="B16" s="60"/>
      <c r="C16" s="60"/>
      <c r="D16" s="60"/>
      <c r="E16" s="60"/>
      <c r="F16" s="60"/>
      <c r="G16" s="60"/>
      <c r="H16" s="60"/>
      <c r="I16" s="60"/>
    </row>
  </sheetData>
  <mergeCells count="3">
    <mergeCell ref="B1:E1"/>
    <mergeCell ref="F1:I1"/>
    <mergeCell ref="A1:A4"/>
  </mergeCells>
  <printOptions/>
  <pageMargins left="0.7874015748031497" right="0.56" top="0.984251968503937" bottom="0.98425196850393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workbookViewId="0" topLeftCell="A1">
      <selection activeCell="C20" sqref="C20"/>
    </sheetView>
  </sheetViews>
  <sheetFormatPr defaultColWidth="9.140625" defaultRowHeight="12.75"/>
  <cols>
    <col min="1" max="1" width="61.7109375" style="80" bestFit="1" customWidth="1"/>
    <col min="2" max="2" width="13.421875" style="80" bestFit="1" customWidth="1"/>
    <col min="3" max="3" width="15.421875" style="80" bestFit="1" customWidth="1"/>
    <col min="4" max="4" width="37.140625" style="80" bestFit="1" customWidth="1"/>
    <col min="5" max="16384" width="8.00390625" style="80" customWidth="1"/>
  </cols>
  <sheetData>
    <row r="1" spans="1:4" ht="18.75">
      <c r="A1" s="102" t="s">
        <v>127</v>
      </c>
      <c r="B1" s="103"/>
      <c r="C1" s="103"/>
      <c r="D1" s="104"/>
    </row>
    <row r="2" spans="1:4" ht="15.75">
      <c r="A2" s="105" t="s">
        <v>139</v>
      </c>
      <c r="B2" s="106"/>
      <c r="C2" s="106"/>
      <c r="D2" s="107"/>
    </row>
    <row r="3" spans="1:4" ht="12.75">
      <c r="A3" s="81" t="s">
        <v>128</v>
      </c>
      <c r="B3" s="82"/>
      <c r="C3" s="82"/>
      <c r="D3" s="83"/>
    </row>
    <row r="4" spans="1:4" ht="12.75">
      <c r="A4" s="84"/>
      <c r="B4" s="85"/>
      <c r="C4" s="85"/>
      <c r="D4" s="86"/>
    </row>
    <row r="5" spans="1:4" ht="38.25">
      <c r="A5" s="87" t="s">
        <v>129</v>
      </c>
      <c r="B5" s="87" t="s">
        <v>130</v>
      </c>
      <c r="C5" s="88" t="s">
        <v>131</v>
      </c>
      <c r="D5" s="87" t="s">
        <v>132</v>
      </c>
    </row>
    <row r="6" spans="1:4" ht="12.75">
      <c r="A6" s="89" t="s">
        <v>133</v>
      </c>
      <c r="B6" s="89" t="s">
        <v>134</v>
      </c>
      <c r="C6" s="90">
        <v>1600000</v>
      </c>
      <c r="D6" s="89" t="s">
        <v>135</v>
      </c>
    </row>
    <row r="7" spans="1:4" ht="12.75">
      <c r="A7" s="89"/>
      <c r="B7" s="89"/>
      <c r="C7" s="90"/>
      <c r="D7" s="89"/>
    </row>
    <row r="8" spans="1:4" ht="12.75">
      <c r="A8" s="89"/>
      <c r="B8" s="89"/>
      <c r="C8" s="90"/>
      <c r="D8" s="89"/>
    </row>
    <row r="9" spans="1:4" ht="12.75">
      <c r="A9" s="89"/>
      <c r="B9" s="89"/>
      <c r="C9" s="90"/>
      <c r="D9" s="89"/>
    </row>
    <row r="10" spans="1:4" ht="12.75">
      <c r="A10" s="89"/>
      <c r="B10" s="89"/>
      <c r="C10" s="90"/>
      <c r="D10" s="89"/>
    </row>
    <row r="11" ht="12.75">
      <c r="A11" s="91" t="s">
        <v>136</v>
      </c>
    </row>
  </sheetData>
  <mergeCells count="2">
    <mergeCell ref="A1:D1"/>
    <mergeCell ref="A2:D2"/>
  </mergeCells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0"/>
  <sheetViews>
    <sheetView workbookViewId="0" topLeftCell="A1">
      <selection activeCell="F10" sqref="F10"/>
    </sheetView>
  </sheetViews>
  <sheetFormatPr defaultColWidth="9.140625" defaultRowHeight="12.75"/>
  <cols>
    <col min="1" max="1" width="4.57421875" style="0" customWidth="1"/>
    <col min="2" max="2" width="38.00390625" style="0" customWidth="1"/>
    <col min="3" max="3" width="14.8515625" style="0" customWidth="1"/>
    <col min="4" max="4" width="16.28125" style="0" customWidth="1"/>
    <col min="5" max="11" width="12.7109375" style="0" customWidth="1"/>
    <col min="12" max="12" width="24.7109375" style="0" customWidth="1"/>
    <col min="13" max="13" width="16.140625" style="0" customWidth="1"/>
  </cols>
  <sheetData>
    <row r="1" ht="15.75">
      <c r="B1" s="1" t="s">
        <v>137</v>
      </c>
    </row>
    <row r="5" spans="2:13" s="95" customFormat="1" ht="38.25">
      <c r="B5" s="92" t="s">
        <v>92</v>
      </c>
      <c r="C5" s="93" t="s">
        <v>93</v>
      </c>
      <c r="D5" s="93" t="s">
        <v>94</v>
      </c>
      <c r="E5" s="93" t="s">
        <v>95</v>
      </c>
      <c r="F5" s="93" t="s">
        <v>96</v>
      </c>
      <c r="G5" s="93" t="s">
        <v>97</v>
      </c>
      <c r="H5" s="93" t="s">
        <v>98</v>
      </c>
      <c r="I5" s="93" t="s">
        <v>99</v>
      </c>
      <c r="J5" s="93" t="s">
        <v>100</v>
      </c>
      <c r="K5" s="93" t="s">
        <v>101</v>
      </c>
      <c r="L5" s="93" t="s">
        <v>102</v>
      </c>
      <c r="M5" s="94"/>
    </row>
    <row r="6" spans="2:12" ht="25.5">
      <c r="B6" t="s">
        <v>103</v>
      </c>
      <c r="C6" s="75" t="s">
        <v>104</v>
      </c>
      <c r="D6" s="75" t="s">
        <v>105</v>
      </c>
      <c r="E6" s="76">
        <f>0.55*450564</f>
        <v>247810.2</v>
      </c>
      <c r="F6" s="77">
        <v>0.55</v>
      </c>
      <c r="G6" s="76">
        <v>450564</v>
      </c>
      <c r="H6" s="76">
        <f aca="true" t="shared" si="0" ref="H6:H17">+G6*F6</f>
        <v>247810.2</v>
      </c>
      <c r="I6" s="78">
        <v>0.55</v>
      </c>
      <c r="J6" s="76">
        <f>+I6*18043125</f>
        <v>9923718.75</v>
      </c>
      <c r="K6" s="76"/>
      <c r="L6" s="74" t="s">
        <v>106</v>
      </c>
    </row>
    <row r="7" spans="2:12" ht="38.25">
      <c r="B7" t="s">
        <v>107</v>
      </c>
      <c r="C7" s="75" t="s">
        <v>104</v>
      </c>
      <c r="D7" s="75" t="s">
        <v>105</v>
      </c>
      <c r="E7" s="76">
        <f>0.5*10250857</f>
        <v>5125428.5</v>
      </c>
      <c r="F7" s="77">
        <v>0.5</v>
      </c>
      <c r="G7" s="76">
        <v>10250857</v>
      </c>
      <c r="H7" s="76">
        <f t="shared" si="0"/>
        <v>5125428.5</v>
      </c>
      <c r="I7" s="78">
        <v>0.5</v>
      </c>
      <c r="J7" s="76">
        <f>I7*2546312</f>
        <v>1273156</v>
      </c>
      <c r="K7" s="76"/>
      <c r="L7" s="74" t="s">
        <v>108</v>
      </c>
    </row>
    <row r="8" spans="2:12" ht="12.75">
      <c r="B8" t="s">
        <v>109</v>
      </c>
      <c r="C8" s="75" t="s">
        <v>110</v>
      </c>
      <c r="D8" s="75" t="s">
        <v>105</v>
      </c>
      <c r="E8" s="76">
        <f>0.15*3150</f>
        <v>472.5</v>
      </c>
      <c r="F8" s="77">
        <v>0.15</v>
      </c>
      <c r="G8" s="76">
        <v>874597</v>
      </c>
      <c r="H8" s="76">
        <f t="shared" si="0"/>
        <v>131189.55</v>
      </c>
      <c r="I8" s="78"/>
      <c r="J8" s="76"/>
      <c r="K8" s="76"/>
      <c r="L8" s="74" t="s">
        <v>111</v>
      </c>
    </row>
    <row r="9" spans="2:12" ht="12.75">
      <c r="B9" t="s">
        <v>112</v>
      </c>
      <c r="C9" s="75" t="s">
        <v>104</v>
      </c>
      <c r="D9" s="75" t="s">
        <v>105</v>
      </c>
      <c r="E9" s="76">
        <f>0.16*16273</f>
        <v>2603.68</v>
      </c>
      <c r="F9" s="79">
        <v>0.16</v>
      </c>
      <c r="G9" s="76">
        <v>16273</v>
      </c>
      <c r="H9" s="76">
        <f t="shared" si="0"/>
        <v>2603.68</v>
      </c>
      <c r="I9" s="78">
        <v>0.16</v>
      </c>
      <c r="J9" s="76">
        <f>+I9*(1054661-G9)</f>
        <v>166142.08000000002</v>
      </c>
      <c r="K9" s="76"/>
      <c r="L9" s="74" t="s">
        <v>113</v>
      </c>
    </row>
    <row r="10" spans="2:12" ht="12.75">
      <c r="B10" t="s">
        <v>114</v>
      </c>
      <c r="C10" s="75" t="s">
        <v>115</v>
      </c>
      <c r="D10" s="75" t="s">
        <v>105</v>
      </c>
      <c r="E10" s="76">
        <v>1500500</v>
      </c>
      <c r="F10" s="77">
        <v>1</v>
      </c>
      <c r="G10" s="76">
        <v>10843990</v>
      </c>
      <c r="H10" s="76">
        <f t="shared" si="0"/>
        <v>10843990</v>
      </c>
      <c r="I10" s="78"/>
      <c r="J10" s="76"/>
      <c r="K10" s="76"/>
      <c r="L10" s="74" t="s">
        <v>116</v>
      </c>
    </row>
    <row r="11" spans="2:12" ht="12.75">
      <c r="B11" t="s">
        <v>117</v>
      </c>
      <c r="C11" s="75" t="s">
        <v>110</v>
      </c>
      <c r="D11" s="75" t="s">
        <v>105</v>
      </c>
      <c r="E11" s="76">
        <v>500</v>
      </c>
      <c r="F11" s="77">
        <v>1</v>
      </c>
      <c r="G11" s="76">
        <v>499</v>
      </c>
      <c r="H11" s="76">
        <f t="shared" si="0"/>
        <v>499</v>
      </c>
      <c r="I11" s="78"/>
      <c r="J11" s="76"/>
      <c r="K11" s="76"/>
      <c r="L11" s="74" t="s">
        <v>116</v>
      </c>
    </row>
    <row r="12" spans="2:12" ht="12.75">
      <c r="B12" t="s">
        <v>118</v>
      </c>
      <c r="C12" s="75" t="s">
        <v>115</v>
      </c>
      <c r="D12" s="75" t="s">
        <v>105</v>
      </c>
      <c r="E12" s="76">
        <v>500000</v>
      </c>
      <c r="F12" s="77">
        <v>1</v>
      </c>
      <c r="G12" s="76">
        <v>3447803</v>
      </c>
      <c r="H12" s="76">
        <f t="shared" si="0"/>
        <v>3447803</v>
      </c>
      <c r="I12" s="78"/>
      <c r="J12" s="76"/>
      <c r="K12" s="76"/>
      <c r="L12" s="74" t="s">
        <v>116</v>
      </c>
    </row>
    <row r="13" spans="2:12" ht="12.75">
      <c r="B13" t="s">
        <v>119</v>
      </c>
      <c r="C13" s="75" t="s">
        <v>110</v>
      </c>
      <c r="D13" s="75" t="s">
        <v>105</v>
      </c>
      <c r="E13">
        <v>500</v>
      </c>
      <c r="F13" s="77">
        <v>1</v>
      </c>
      <c r="G13">
        <v>488</v>
      </c>
      <c r="H13" s="76">
        <f t="shared" si="0"/>
        <v>488</v>
      </c>
      <c r="I13" s="78"/>
      <c r="J13" s="76"/>
      <c r="K13" s="76"/>
      <c r="L13" s="74" t="s">
        <v>116</v>
      </c>
    </row>
    <row r="14" spans="2:12" ht="25.5">
      <c r="B14" t="s">
        <v>120</v>
      </c>
      <c r="C14" s="75" t="s">
        <v>110</v>
      </c>
      <c r="D14" s="75" t="s">
        <v>105</v>
      </c>
      <c r="E14" s="76">
        <v>250</v>
      </c>
      <c r="F14" s="77">
        <v>0.5</v>
      </c>
      <c r="G14" s="76">
        <v>2892</v>
      </c>
      <c r="H14" s="76">
        <f t="shared" si="0"/>
        <v>1446</v>
      </c>
      <c r="I14" s="78"/>
      <c r="J14" s="76"/>
      <c r="K14" s="76"/>
      <c r="L14" s="74" t="s">
        <v>121</v>
      </c>
    </row>
    <row r="15" spans="2:12" ht="25.5">
      <c r="B15" t="s">
        <v>122</v>
      </c>
      <c r="C15" s="75" t="s">
        <v>115</v>
      </c>
      <c r="D15" s="75" t="s">
        <v>105</v>
      </c>
      <c r="E15" s="76">
        <v>10000</v>
      </c>
      <c r="F15" s="77">
        <v>0.5</v>
      </c>
      <c r="G15" s="76">
        <v>31073</v>
      </c>
      <c r="H15" s="76">
        <f t="shared" si="0"/>
        <v>15536.5</v>
      </c>
      <c r="I15" s="78"/>
      <c r="J15" s="76"/>
      <c r="K15" s="76"/>
      <c r="L15" s="74" t="s">
        <v>121</v>
      </c>
    </row>
    <row r="16" spans="2:12" ht="25.5">
      <c r="B16" t="s">
        <v>123</v>
      </c>
      <c r="C16" s="75" t="s">
        <v>110</v>
      </c>
      <c r="D16" s="75" t="s">
        <v>105</v>
      </c>
      <c r="E16" s="76">
        <v>250</v>
      </c>
      <c r="F16" s="77">
        <v>0.5</v>
      </c>
      <c r="G16" s="76">
        <v>429</v>
      </c>
      <c r="H16" s="76">
        <f t="shared" si="0"/>
        <v>214.5</v>
      </c>
      <c r="I16" s="78"/>
      <c r="J16" s="76"/>
      <c r="K16" s="76"/>
      <c r="L16" s="74" t="s">
        <v>124</v>
      </c>
    </row>
    <row r="17" spans="2:12" ht="25.5">
      <c r="B17" t="s">
        <v>125</v>
      </c>
      <c r="C17" s="75" t="s">
        <v>115</v>
      </c>
      <c r="D17" s="75" t="s">
        <v>105</v>
      </c>
      <c r="E17" s="76">
        <v>3000</v>
      </c>
      <c r="F17" s="77">
        <v>0.5</v>
      </c>
      <c r="G17" s="76">
        <v>168823</v>
      </c>
      <c r="H17" s="76">
        <f t="shared" si="0"/>
        <v>84411.5</v>
      </c>
      <c r="I17" s="78"/>
      <c r="J17" s="76"/>
      <c r="K17" s="76"/>
      <c r="L17" s="74" t="s">
        <v>126</v>
      </c>
    </row>
    <row r="18" ht="12.75">
      <c r="L18" s="74"/>
    </row>
    <row r="20" ht="12.75">
      <c r="F20" s="79"/>
    </row>
  </sheetData>
  <printOptions/>
  <pageMargins left="0.43" right="0.49" top="1" bottom="1" header="0.11" footer="0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9"/>
  <sheetViews>
    <sheetView workbookViewId="0" topLeftCell="A1">
      <selection activeCell="I16" sqref="I16"/>
    </sheetView>
  </sheetViews>
  <sheetFormatPr defaultColWidth="9.140625" defaultRowHeight="12.75"/>
  <cols>
    <col min="1" max="1" width="47.421875" style="0" customWidth="1"/>
    <col min="2" max="2" width="12.7109375" style="0" customWidth="1"/>
    <col min="3" max="3" width="13.57421875" style="0" customWidth="1"/>
    <col min="4" max="4" width="13.140625" style="0" customWidth="1"/>
    <col min="5" max="5" width="14.00390625" style="0" bestFit="1" customWidth="1"/>
    <col min="6" max="6" width="10.57421875" style="0" customWidth="1"/>
    <col min="8" max="8" width="11.140625" style="0" bestFit="1" customWidth="1"/>
  </cols>
  <sheetData>
    <row r="1" ht="15.75">
      <c r="A1" s="1" t="s">
        <v>138</v>
      </c>
    </row>
    <row r="3" ht="16.5" thickBot="1">
      <c r="A3" s="1" t="s">
        <v>0</v>
      </c>
    </row>
    <row r="4" spans="1:6" ht="21" customHeight="1">
      <c r="A4" s="108" t="s">
        <v>1</v>
      </c>
      <c r="B4" s="2" t="s">
        <v>2</v>
      </c>
      <c r="C4" s="2" t="s">
        <v>3</v>
      </c>
      <c r="D4" s="2" t="s">
        <v>2</v>
      </c>
      <c r="E4" s="2" t="s">
        <v>3</v>
      </c>
      <c r="F4" s="110" t="s">
        <v>4</v>
      </c>
    </row>
    <row r="5" spans="1:6" ht="29.25" customHeight="1" thickBot="1">
      <c r="A5" s="109"/>
      <c r="B5" s="3" t="s">
        <v>5</v>
      </c>
      <c r="C5" s="3" t="s">
        <v>5</v>
      </c>
      <c r="D5" s="3" t="s">
        <v>6</v>
      </c>
      <c r="E5" s="3" t="s">
        <v>6</v>
      </c>
      <c r="F5" s="111"/>
    </row>
    <row r="6" spans="1:6" ht="15.75" thickBot="1">
      <c r="A6" s="4" t="s">
        <v>7</v>
      </c>
      <c r="B6" s="61"/>
      <c r="C6" s="5"/>
      <c r="D6" s="5"/>
      <c r="E6" s="5"/>
      <c r="F6" s="6"/>
    </row>
    <row r="7" spans="1:6" ht="15">
      <c r="A7" s="73" t="s">
        <v>87</v>
      </c>
      <c r="B7" s="62"/>
      <c r="C7" s="7"/>
      <c r="D7" s="7"/>
      <c r="E7" s="8"/>
      <c r="F7" s="9"/>
    </row>
    <row r="8" spans="1:8" ht="14.25">
      <c r="A8" s="10" t="s">
        <v>8</v>
      </c>
      <c r="B8" s="63">
        <f>SUM(B9:B20)</f>
        <v>99177.4</v>
      </c>
      <c r="C8" s="11">
        <f>SUM(C9:C20)</f>
        <v>4448.21382</v>
      </c>
      <c r="D8" s="11">
        <f>SUM(D9:D20)</f>
        <v>296142</v>
      </c>
      <c r="E8" s="11">
        <f>SUM(E9:E20)</f>
        <v>201358.41382000002</v>
      </c>
      <c r="F8" s="12"/>
      <c r="H8" s="13"/>
    </row>
    <row r="9" spans="1:8" ht="12.75">
      <c r="A9" s="14" t="s">
        <v>9</v>
      </c>
      <c r="B9" s="64">
        <v>-21378</v>
      </c>
      <c r="C9" s="15">
        <v>0</v>
      </c>
      <c r="D9" s="16">
        <f>-21378+20269</f>
        <v>-1109</v>
      </c>
      <c r="E9" s="16">
        <v>20269</v>
      </c>
      <c r="F9" s="17" t="s">
        <v>10</v>
      </c>
      <c r="H9" s="13"/>
    </row>
    <row r="10" spans="1:6" ht="12.75">
      <c r="A10" s="14" t="s">
        <v>11</v>
      </c>
      <c r="B10" s="64">
        <v>0</v>
      </c>
      <c r="C10" s="15">
        <v>0</v>
      </c>
      <c r="D10" s="16">
        <v>550</v>
      </c>
      <c r="E10" s="16">
        <v>550</v>
      </c>
      <c r="F10" s="17" t="s">
        <v>12</v>
      </c>
    </row>
    <row r="11" spans="1:6" ht="12.75">
      <c r="A11" s="14" t="s">
        <v>13</v>
      </c>
      <c r="B11" s="65">
        <v>0</v>
      </c>
      <c r="C11" s="15">
        <v>0</v>
      </c>
      <c r="D11" s="16">
        <v>26090</v>
      </c>
      <c r="E11" s="16">
        <v>26089.6</v>
      </c>
      <c r="F11" s="17" t="s">
        <v>14</v>
      </c>
    </row>
    <row r="12" spans="1:6" ht="12.75">
      <c r="A12" s="14" t="s">
        <v>15</v>
      </c>
      <c r="B12" s="64">
        <v>0</v>
      </c>
      <c r="C12" s="15">
        <v>0</v>
      </c>
      <c r="D12" s="16">
        <v>54952</v>
      </c>
      <c r="E12" s="16">
        <v>54952</v>
      </c>
      <c r="F12" s="17" t="s">
        <v>16</v>
      </c>
    </row>
    <row r="13" spans="1:6" ht="12.75">
      <c r="A13" s="14" t="s">
        <v>17</v>
      </c>
      <c r="B13" s="64">
        <v>3104.4</v>
      </c>
      <c r="C13" s="15">
        <v>2101</v>
      </c>
      <c r="D13" s="16">
        <f>6189-2101</f>
        <v>4088</v>
      </c>
      <c r="E13" s="16">
        <v>3030.6</v>
      </c>
      <c r="F13" s="17" t="s">
        <v>18</v>
      </c>
    </row>
    <row r="14" spans="1:6" ht="12.75">
      <c r="A14" s="14" t="s">
        <v>19</v>
      </c>
      <c r="B14" s="64">
        <v>0</v>
      </c>
      <c r="C14" s="15">
        <v>0</v>
      </c>
      <c r="D14" s="16">
        <v>50250</v>
      </c>
      <c r="E14" s="16">
        <v>50250</v>
      </c>
      <c r="F14" s="17" t="s">
        <v>12</v>
      </c>
    </row>
    <row r="15" spans="1:6" ht="12.75">
      <c r="A15" s="14" t="s">
        <v>20</v>
      </c>
      <c r="B15" s="64">
        <v>0</v>
      </c>
      <c r="C15" s="15">
        <v>0</v>
      </c>
      <c r="D15" s="16">
        <v>47600</v>
      </c>
      <c r="E15" s="16">
        <v>47600</v>
      </c>
      <c r="F15" s="17" t="s">
        <v>16</v>
      </c>
    </row>
    <row r="16" spans="1:6" ht="12.75">
      <c r="A16" s="14" t="s">
        <v>21</v>
      </c>
      <c r="B16" s="66">
        <v>0</v>
      </c>
      <c r="C16" s="15">
        <v>0</v>
      </c>
      <c r="D16" s="16">
        <v>-3730</v>
      </c>
      <c r="E16" s="16">
        <v>-3730</v>
      </c>
      <c r="F16" s="17" t="s">
        <v>22</v>
      </c>
    </row>
    <row r="17" spans="1:6" ht="12.75">
      <c r="A17" s="14" t="s">
        <v>23</v>
      </c>
      <c r="B17" s="64">
        <v>53000</v>
      </c>
      <c r="C17" s="15">
        <v>0</v>
      </c>
      <c r="D17" s="16">
        <v>53000</v>
      </c>
      <c r="E17" s="16">
        <v>0</v>
      </c>
      <c r="F17" s="17" t="s">
        <v>18</v>
      </c>
    </row>
    <row r="18" spans="1:6" ht="12.75">
      <c r="A18" s="14" t="s">
        <v>24</v>
      </c>
      <c r="B18" s="64">
        <v>25000</v>
      </c>
      <c r="C18" s="15">
        <v>0</v>
      </c>
      <c r="D18" s="16">
        <v>25000</v>
      </c>
      <c r="E18" s="16">
        <v>0</v>
      </c>
      <c r="F18" s="17" t="s">
        <v>18</v>
      </c>
    </row>
    <row r="19" spans="1:6" ht="12.75">
      <c r="A19" s="14" t="s">
        <v>25</v>
      </c>
      <c r="B19" s="64">
        <v>40000</v>
      </c>
      <c r="C19" s="15">
        <v>2347.21382</v>
      </c>
      <c r="D19" s="16">
        <v>40000</v>
      </c>
      <c r="E19" s="16">
        <f>2347.21382</f>
        <v>2347.21382</v>
      </c>
      <c r="F19" s="17" t="s">
        <v>18</v>
      </c>
    </row>
    <row r="20" spans="1:6" s="28" customFormat="1" ht="12.75">
      <c r="A20" s="29" t="s">
        <v>26</v>
      </c>
      <c r="B20" s="65">
        <v>-549</v>
      </c>
      <c r="C20" s="18">
        <v>0</v>
      </c>
      <c r="D20" s="30">
        <v>-549</v>
      </c>
      <c r="E20" s="30">
        <v>0</v>
      </c>
      <c r="F20" s="31"/>
    </row>
    <row r="21" spans="1:6" ht="12.75">
      <c r="A21" s="14"/>
      <c r="B21" s="67"/>
      <c r="C21" s="16"/>
      <c r="D21" s="16"/>
      <c r="E21" s="16"/>
      <c r="F21" s="16"/>
    </row>
    <row r="22" spans="1:6" ht="12.75">
      <c r="A22" s="14"/>
      <c r="B22" s="67"/>
      <c r="C22" s="16"/>
      <c r="D22" s="16"/>
      <c r="E22" s="16"/>
      <c r="F22" s="16"/>
    </row>
    <row r="23" spans="1:6" ht="14.25">
      <c r="A23" s="10" t="s">
        <v>27</v>
      </c>
      <c r="B23" s="68">
        <f>SUM(B24:B26)</f>
        <v>20004</v>
      </c>
      <c r="C23" s="19">
        <f>SUM(C24:C26)</f>
        <v>0</v>
      </c>
      <c r="D23" s="19">
        <f>SUM(D24:D26)</f>
        <v>31000</v>
      </c>
      <c r="E23" s="19">
        <f>SUM(E24:E26)</f>
        <v>10995</v>
      </c>
      <c r="F23" s="12"/>
    </row>
    <row r="24" spans="1:6" ht="12.75">
      <c r="A24" s="20" t="s">
        <v>28</v>
      </c>
      <c r="B24" s="69">
        <v>0</v>
      </c>
      <c r="C24" s="22">
        <v>0</v>
      </c>
      <c r="D24" s="21">
        <v>10600</v>
      </c>
      <c r="E24" s="21">
        <v>10600</v>
      </c>
      <c r="F24" s="17">
        <v>2004</v>
      </c>
    </row>
    <row r="25" spans="1:6" ht="12.75">
      <c r="A25" s="20" t="s">
        <v>29</v>
      </c>
      <c r="B25" s="69">
        <v>20000</v>
      </c>
      <c r="C25" s="22">
        <v>0</v>
      </c>
      <c r="D25" s="21">
        <v>20000</v>
      </c>
      <c r="E25" s="21">
        <v>0</v>
      </c>
      <c r="F25" s="17" t="s">
        <v>18</v>
      </c>
    </row>
    <row r="26" spans="1:6" ht="12.75">
      <c r="A26" s="20" t="s">
        <v>30</v>
      </c>
      <c r="B26" s="69">
        <v>4</v>
      </c>
      <c r="C26" s="22">
        <v>0</v>
      </c>
      <c r="D26" s="21">
        <v>400</v>
      </c>
      <c r="E26" s="21">
        <v>395</v>
      </c>
      <c r="F26" s="17">
        <v>2005</v>
      </c>
    </row>
    <row r="27" spans="1:9" ht="12.75">
      <c r="A27" s="14"/>
      <c r="B27" s="69"/>
      <c r="C27" s="22"/>
      <c r="D27" s="21"/>
      <c r="E27" s="21"/>
      <c r="F27" s="23"/>
      <c r="I27" s="13"/>
    </row>
    <row r="28" spans="1:6" ht="12.75">
      <c r="A28" s="14"/>
      <c r="B28" s="67"/>
      <c r="C28" s="16"/>
      <c r="D28" s="16"/>
      <c r="E28" s="16"/>
      <c r="F28" s="16"/>
    </row>
    <row r="29" spans="1:6" ht="14.25">
      <c r="A29" s="10" t="s">
        <v>31</v>
      </c>
      <c r="B29" s="68">
        <f>SUM(B30:B35)</f>
        <v>24594.948</v>
      </c>
      <c r="C29" s="19">
        <f>SUM(C30:C35)</f>
        <v>3408.158</v>
      </c>
      <c r="D29" s="19">
        <f>SUM(D30:D35)</f>
        <v>31252</v>
      </c>
      <c r="E29" s="19">
        <f>SUM(E30:E35)</f>
        <v>7516.1900000000005</v>
      </c>
      <c r="F29" s="12"/>
    </row>
    <row r="30" spans="1:6" ht="12.75">
      <c r="A30" s="14" t="s">
        <v>32</v>
      </c>
      <c r="B30" s="64">
        <v>2175.741</v>
      </c>
      <c r="C30" s="16">
        <v>395.833</v>
      </c>
      <c r="D30" s="16">
        <v>3161</v>
      </c>
      <c r="E30" s="16">
        <f>985.259+395.833</f>
        <v>1381.092</v>
      </c>
      <c r="F30" s="17" t="s">
        <v>18</v>
      </c>
    </row>
    <row r="31" spans="1:6" ht="12.75">
      <c r="A31" s="14" t="s">
        <v>33</v>
      </c>
      <c r="B31" s="64">
        <v>2989.787</v>
      </c>
      <c r="C31" s="16">
        <v>0</v>
      </c>
      <c r="D31" s="16">
        <v>3161</v>
      </c>
      <c r="E31" s="16">
        <v>171.213</v>
      </c>
      <c r="F31" s="17" t="s">
        <v>18</v>
      </c>
    </row>
    <row r="32" spans="1:6" ht="12.75">
      <c r="A32" s="14" t="s">
        <v>34</v>
      </c>
      <c r="B32" s="64">
        <v>120</v>
      </c>
      <c r="C32" s="16">
        <v>0</v>
      </c>
      <c r="D32" s="16">
        <v>250</v>
      </c>
      <c r="E32" s="16">
        <v>129.806</v>
      </c>
      <c r="F32" s="17">
        <v>2005</v>
      </c>
    </row>
    <row r="33" spans="1:6" ht="12.75">
      <c r="A33" s="14" t="s">
        <v>35</v>
      </c>
      <c r="B33" s="64">
        <v>3281.42</v>
      </c>
      <c r="C33" s="16">
        <v>970</v>
      </c>
      <c r="D33" s="16">
        <v>8680</v>
      </c>
      <c r="E33" s="16">
        <f>2793.58+970</f>
        <v>3763.58</v>
      </c>
      <c r="F33" s="17" t="s">
        <v>36</v>
      </c>
    </row>
    <row r="34" spans="1:6" ht="12.75">
      <c r="A34" s="14" t="s">
        <v>37</v>
      </c>
      <c r="B34" s="64">
        <v>10028</v>
      </c>
      <c r="C34" s="15">
        <v>1694.85</v>
      </c>
      <c r="D34" s="16">
        <v>10000</v>
      </c>
      <c r="E34" s="16">
        <f>--28.174+1694.85</f>
        <v>1723.024</v>
      </c>
      <c r="F34" s="17" t="s">
        <v>36</v>
      </c>
    </row>
    <row r="35" spans="1:6" ht="12.75">
      <c r="A35" s="14" t="s">
        <v>38</v>
      </c>
      <c r="B35" s="67">
        <v>6000</v>
      </c>
      <c r="C35" s="16">
        <v>347.475</v>
      </c>
      <c r="D35" s="16">
        <v>6000</v>
      </c>
      <c r="E35" s="16">
        <f>0+347.475</f>
        <v>347.475</v>
      </c>
      <c r="F35" s="17">
        <v>2009</v>
      </c>
    </row>
    <row r="36" spans="1:6" ht="12.75">
      <c r="A36" s="14"/>
      <c r="B36" s="67"/>
      <c r="C36" s="16"/>
      <c r="D36" s="16"/>
      <c r="E36" s="16"/>
      <c r="F36" s="16"/>
    </row>
    <row r="37" spans="1:6" ht="12.75">
      <c r="A37" s="14"/>
      <c r="B37" s="67"/>
      <c r="C37" s="16"/>
      <c r="D37" s="16"/>
      <c r="E37" s="16"/>
      <c r="F37" s="16"/>
    </row>
    <row r="38" spans="1:8" ht="14.25">
      <c r="A38" s="10" t="s">
        <v>39</v>
      </c>
      <c r="B38" s="68">
        <f>SUM(B39:B42)</f>
        <v>2727</v>
      </c>
      <c r="C38" s="19">
        <f>SUM(C39:C42)</f>
        <v>1318.41</v>
      </c>
      <c r="D38" s="19">
        <f>SUM(D39:D42)</f>
        <v>12614</v>
      </c>
      <c r="E38" s="19">
        <f>SUM(E39:E42)</f>
        <v>11205.267</v>
      </c>
      <c r="F38" s="12"/>
      <c r="H38" s="13"/>
    </row>
    <row r="39" spans="1:6" ht="12.75">
      <c r="A39" s="14" t="s">
        <v>40</v>
      </c>
      <c r="B39" s="64">
        <v>0</v>
      </c>
      <c r="C39" s="15">
        <v>0</v>
      </c>
      <c r="D39" s="16">
        <v>3000</v>
      </c>
      <c r="E39" s="16">
        <v>3000</v>
      </c>
      <c r="F39" s="17">
        <v>2004</v>
      </c>
    </row>
    <row r="40" spans="1:6" ht="12.75">
      <c r="A40" s="14" t="s">
        <v>41</v>
      </c>
      <c r="B40" s="64">
        <f>2727-320</f>
        <v>2407</v>
      </c>
      <c r="C40" s="15">
        <v>1000</v>
      </c>
      <c r="D40" s="16">
        <f>7507-207-6</f>
        <v>7294</v>
      </c>
      <c r="E40" s="16">
        <f>4887.267+1000</f>
        <v>5887.267</v>
      </c>
      <c r="F40" s="17">
        <v>2007</v>
      </c>
    </row>
    <row r="41" spans="1:6" ht="12.75">
      <c r="A41" s="14" t="s">
        <v>42</v>
      </c>
      <c r="B41" s="64">
        <v>0</v>
      </c>
      <c r="C41" s="15">
        <v>0</v>
      </c>
      <c r="D41" s="16">
        <f>2107-107</f>
        <v>2000</v>
      </c>
      <c r="E41" s="16">
        <v>2000</v>
      </c>
      <c r="F41" s="17">
        <v>2004</v>
      </c>
    </row>
    <row r="42" spans="1:6" ht="12.75">
      <c r="A42" s="14" t="s">
        <v>43</v>
      </c>
      <c r="B42" s="67">
        <v>320</v>
      </c>
      <c r="C42" s="16">
        <v>318.41</v>
      </c>
      <c r="D42" s="16">
        <v>320</v>
      </c>
      <c r="E42" s="16">
        <v>318</v>
      </c>
      <c r="F42" s="17">
        <v>2007</v>
      </c>
    </row>
    <row r="43" spans="1:6" ht="12.75">
      <c r="A43" s="14"/>
      <c r="B43" s="67"/>
      <c r="C43" s="16"/>
      <c r="D43" s="16"/>
      <c r="E43" s="16"/>
      <c r="F43" s="16"/>
    </row>
    <row r="44" spans="1:6" ht="14.25">
      <c r="A44" s="10" t="s">
        <v>44</v>
      </c>
      <c r="B44" s="68">
        <f>SUM(B45)</f>
        <v>-67</v>
      </c>
      <c r="C44" s="19">
        <f>SUM(C45)</f>
        <v>67</v>
      </c>
      <c r="D44" s="19">
        <v>3162</v>
      </c>
      <c r="E44" s="19">
        <f>SUM(E45)</f>
        <v>3230</v>
      </c>
      <c r="F44" s="12"/>
    </row>
    <row r="45" spans="1:6" ht="12.75">
      <c r="A45" s="14" t="s">
        <v>45</v>
      </c>
      <c r="B45" s="64">
        <v>-67</v>
      </c>
      <c r="C45" s="15">
        <v>67</v>
      </c>
      <c r="D45" s="16">
        <v>3230</v>
      </c>
      <c r="E45" s="16">
        <v>3230</v>
      </c>
      <c r="F45" s="17">
        <v>2004</v>
      </c>
    </row>
    <row r="46" spans="1:6" ht="12.75">
      <c r="A46" s="14"/>
      <c r="B46" s="67"/>
      <c r="C46" s="16"/>
      <c r="D46" s="16"/>
      <c r="E46" s="16"/>
      <c r="F46" s="16"/>
    </row>
    <row r="47" spans="1:6" ht="12.75">
      <c r="A47" s="14"/>
      <c r="B47" s="67"/>
      <c r="C47" s="16"/>
      <c r="D47" s="16"/>
      <c r="E47" s="16"/>
      <c r="F47" s="16"/>
    </row>
    <row r="48" spans="1:9" ht="14.25">
      <c r="A48" s="10" t="s">
        <v>46</v>
      </c>
      <c r="B48" s="68">
        <f>SUM(B49:B52)</f>
        <v>4565</v>
      </c>
      <c r="C48" s="19">
        <f>SUM(C49:C52)</f>
        <v>1969.56695</v>
      </c>
      <c r="D48" s="19">
        <f>SUM(D49:D52)</f>
        <v>20662</v>
      </c>
      <c r="E48" s="19">
        <f>SUM(E49:E52)</f>
        <v>18095.028</v>
      </c>
      <c r="F48" s="12"/>
      <c r="I48" s="13"/>
    </row>
    <row r="49" spans="1:6" ht="12.75">
      <c r="A49" s="14" t="s">
        <v>47</v>
      </c>
      <c r="B49" s="64">
        <v>2561</v>
      </c>
      <c r="C49" s="15">
        <v>0</v>
      </c>
      <c r="D49" s="16">
        <v>2651</v>
      </c>
      <c r="E49" s="16">
        <f>90</f>
        <v>90</v>
      </c>
      <c r="F49" s="17" t="s">
        <v>18</v>
      </c>
    </row>
    <row r="50" spans="1:6" ht="12.75">
      <c r="A50" s="14" t="s">
        <v>48</v>
      </c>
      <c r="B50" s="64">
        <v>1998</v>
      </c>
      <c r="C50" s="15">
        <v>1969.56695</v>
      </c>
      <c r="D50" s="16">
        <v>2651</v>
      </c>
      <c r="E50" s="16">
        <f>652.772+1998.256</f>
        <v>2651.0280000000002</v>
      </c>
      <c r="F50" s="17" t="s">
        <v>18</v>
      </c>
    </row>
    <row r="51" spans="1:6" ht="12.75">
      <c r="A51" s="14" t="s">
        <v>49</v>
      </c>
      <c r="B51" s="64">
        <v>6</v>
      </c>
      <c r="C51" s="15">
        <v>0</v>
      </c>
      <c r="D51" s="16">
        <v>266</v>
      </c>
      <c r="E51" s="16">
        <v>260</v>
      </c>
      <c r="F51" s="17">
        <v>2005</v>
      </c>
    </row>
    <row r="52" spans="1:6" ht="12.75">
      <c r="A52" s="14" t="s">
        <v>50</v>
      </c>
      <c r="B52" s="64">
        <v>0</v>
      </c>
      <c r="C52" s="15">
        <v>0</v>
      </c>
      <c r="D52" s="16">
        <v>15094</v>
      </c>
      <c r="E52" s="16">
        <v>15094</v>
      </c>
      <c r="F52" s="17">
        <v>2002</v>
      </c>
    </row>
    <row r="53" spans="1:6" ht="12.75">
      <c r="A53" s="14"/>
      <c r="B53" s="67"/>
      <c r="C53" s="16"/>
      <c r="D53" s="16"/>
      <c r="E53" s="16"/>
      <c r="F53" s="16"/>
    </row>
    <row r="54" spans="1:6" ht="12.75">
      <c r="A54" s="14"/>
      <c r="B54" s="67"/>
      <c r="C54" s="16"/>
      <c r="D54" s="16"/>
      <c r="E54" s="16"/>
      <c r="F54" s="16"/>
    </row>
    <row r="55" spans="1:8" ht="15.75">
      <c r="A55" s="24" t="s">
        <v>51</v>
      </c>
      <c r="B55" s="68">
        <f>SUM(B8+B23+B29+B38+B44+B48)</f>
        <v>151001.348</v>
      </c>
      <c r="C55" s="19">
        <f>SUM(C8+C23+C29+C38+C44+C48)</f>
        <v>11211.34877</v>
      </c>
      <c r="D55" s="19">
        <f>SUM(D8+D23+D29+D38+D44+D48)</f>
        <v>394832</v>
      </c>
      <c r="E55" s="19">
        <f>SUM(E8+E23+E29+E38+E44+E48)</f>
        <v>252399.89882</v>
      </c>
      <c r="F55" s="12"/>
      <c r="H55" s="13"/>
    </row>
    <row r="56" spans="1:6" ht="12.75">
      <c r="A56" s="14"/>
      <c r="B56" s="67"/>
      <c r="C56" s="16"/>
      <c r="D56" s="16"/>
      <c r="E56" s="16"/>
      <c r="F56" s="16"/>
    </row>
    <row r="57" spans="1:6" s="28" customFormat="1" ht="14.25">
      <c r="A57" s="25" t="s">
        <v>52</v>
      </c>
      <c r="B57" s="70">
        <v>-1390.839</v>
      </c>
      <c r="C57" s="26">
        <v>0</v>
      </c>
      <c r="D57" s="26">
        <v>-23943.147</v>
      </c>
      <c r="E57" s="26">
        <v>-22552.308</v>
      </c>
      <c r="F57" s="27">
        <v>2008</v>
      </c>
    </row>
    <row r="58" spans="1:6" ht="12.75">
      <c r="A58" s="14"/>
      <c r="B58" s="67"/>
      <c r="C58" s="16"/>
      <c r="D58" s="16"/>
      <c r="E58" s="16"/>
      <c r="F58" s="16"/>
    </row>
    <row r="59" spans="1:6" ht="14.25">
      <c r="A59" s="10" t="s">
        <v>53</v>
      </c>
      <c r="B59" s="68">
        <v>24300</v>
      </c>
      <c r="C59" s="19">
        <v>0</v>
      </c>
      <c r="D59" s="19">
        <v>65000</v>
      </c>
      <c r="E59" s="19">
        <v>40700</v>
      </c>
      <c r="F59" s="12">
        <v>2009</v>
      </c>
    </row>
    <row r="60" spans="1:6" ht="12.75">
      <c r="A60" s="14"/>
      <c r="B60" s="67"/>
      <c r="C60" s="16"/>
      <c r="D60" s="16"/>
      <c r="E60" s="16"/>
      <c r="F60" s="16"/>
    </row>
    <row r="61" spans="1:6" s="28" customFormat="1" ht="14.25">
      <c r="A61" s="25" t="s">
        <v>54</v>
      </c>
      <c r="B61" s="70"/>
      <c r="C61" s="26"/>
      <c r="D61" s="26"/>
      <c r="E61" s="26"/>
      <c r="F61" s="27"/>
    </row>
    <row r="62" spans="1:6" s="28" customFormat="1" ht="12.75">
      <c r="A62" s="29" t="s">
        <v>55</v>
      </c>
      <c r="B62" s="71">
        <v>22300</v>
      </c>
      <c r="C62" s="30">
        <f>123.0815+2903.2258</f>
        <v>3026.3073000000004</v>
      </c>
      <c r="D62" s="30">
        <v>35230</v>
      </c>
      <c r="E62" s="30">
        <f>10908+123.0815+2903.2258</f>
        <v>13934.3073</v>
      </c>
      <c r="F62" s="31" t="s">
        <v>36</v>
      </c>
    </row>
    <row r="63" spans="1:6" s="28" customFormat="1" ht="12.75">
      <c r="A63" s="10"/>
      <c r="B63" s="68"/>
      <c r="C63" s="19"/>
      <c r="D63" s="19"/>
      <c r="E63" s="19"/>
      <c r="F63" s="17"/>
    </row>
    <row r="64" spans="1:6" ht="14.25">
      <c r="A64" s="10" t="s">
        <v>56</v>
      </c>
      <c r="B64" s="68">
        <v>10000</v>
      </c>
      <c r="C64" s="19">
        <v>0</v>
      </c>
      <c r="D64" s="19">
        <v>10000</v>
      </c>
      <c r="E64" s="19">
        <v>0</v>
      </c>
      <c r="F64" s="12">
        <v>2010</v>
      </c>
    </row>
    <row r="65" spans="1:6" ht="14.25">
      <c r="A65" s="10"/>
      <c r="B65" s="68"/>
      <c r="C65" s="19"/>
      <c r="D65" s="19"/>
      <c r="E65" s="19"/>
      <c r="F65" s="12"/>
    </row>
    <row r="66" spans="1:6" ht="14.25">
      <c r="A66" s="10" t="s">
        <v>67</v>
      </c>
      <c r="B66" s="68">
        <f>SUM(B67:B68)</f>
        <v>2579</v>
      </c>
      <c r="C66" s="19">
        <f>SUM(C67:C68)</f>
        <v>2579</v>
      </c>
      <c r="D66" s="19">
        <f>SUM(D67:D68)</f>
        <v>3260</v>
      </c>
      <c r="E66" s="19">
        <f>SUM(E67:E68)</f>
        <v>2741</v>
      </c>
      <c r="F66" s="12"/>
    </row>
    <row r="67" spans="1:6" s="28" customFormat="1" ht="12.75">
      <c r="A67" s="29" t="s">
        <v>57</v>
      </c>
      <c r="B67" s="71">
        <v>519</v>
      </c>
      <c r="C67" s="30">
        <v>519</v>
      </c>
      <c r="D67" s="30">
        <f>681+519</f>
        <v>1200</v>
      </c>
      <c r="E67" s="30">
        <v>681</v>
      </c>
      <c r="F67" s="31" t="s">
        <v>58</v>
      </c>
    </row>
    <row r="68" spans="1:6" s="28" customFormat="1" ht="12.75">
      <c r="A68" s="29" t="s">
        <v>59</v>
      </c>
      <c r="B68" s="71">
        <v>2060</v>
      </c>
      <c r="C68" s="30">
        <v>2060</v>
      </c>
      <c r="D68" s="30">
        <v>2060</v>
      </c>
      <c r="E68" s="30">
        <v>2060</v>
      </c>
      <c r="F68" s="31" t="s">
        <v>18</v>
      </c>
    </row>
    <row r="69" spans="1:6" ht="14.25">
      <c r="A69" s="10"/>
      <c r="B69" s="68"/>
      <c r="C69" s="19"/>
      <c r="D69" s="19"/>
      <c r="E69" s="19"/>
      <c r="F69" s="12"/>
    </row>
    <row r="70" spans="1:6" ht="14.25">
      <c r="A70" s="10" t="s">
        <v>60</v>
      </c>
      <c r="B70" s="68">
        <v>12874</v>
      </c>
      <c r="C70" s="19">
        <v>12837.7</v>
      </c>
      <c r="D70" s="19">
        <v>12874</v>
      </c>
      <c r="E70" s="19">
        <v>12838</v>
      </c>
      <c r="F70" s="12" t="s">
        <v>36</v>
      </c>
    </row>
    <row r="71" spans="1:6" ht="14.25">
      <c r="A71" s="10"/>
      <c r="B71" s="68"/>
      <c r="C71" s="19"/>
      <c r="D71" s="19"/>
      <c r="E71" s="19"/>
      <c r="F71" s="12"/>
    </row>
    <row r="72" spans="1:6" ht="14.25">
      <c r="A72" s="10" t="s">
        <v>61</v>
      </c>
      <c r="B72" s="68">
        <f>18900+2623</f>
        <v>21523</v>
      </c>
      <c r="C72" s="19">
        <v>18900</v>
      </c>
      <c r="D72" s="19">
        <f>49100+18900+2623</f>
        <v>70623</v>
      </c>
      <c r="E72" s="19">
        <f>49100+18900</f>
        <v>68000</v>
      </c>
      <c r="F72" s="12">
        <v>2007</v>
      </c>
    </row>
    <row r="73" spans="1:6" ht="14.25">
      <c r="A73" s="10"/>
      <c r="B73" s="68"/>
      <c r="C73" s="19"/>
      <c r="D73" s="19"/>
      <c r="E73" s="19"/>
      <c r="F73" s="12"/>
    </row>
    <row r="74" spans="1:6" ht="14.25">
      <c r="A74" s="10" t="s">
        <v>62</v>
      </c>
      <c r="B74" s="68">
        <v>0</v>
      </c>
      <c r="C74" s="19">
        <v>1207.957</v>
      </c>
      <c r="D74" s="19">
        <v>1200</v>
      </c>
      <c r="E74" s="19">
        <v>1208</v>
      </c>
      <c r="F74" s="12">
        <v>2007</v>
      </c>
    </row>
    <row r="75" spans="1:6" ht="14.25">
      <c r="A75" s="10"/>
      <c r="B75" s="68"/>
      <c r="C75" s="19"/>
      <c r="D75" s="19"/>
      <c r="E75" s="19"/>
      <c r="F75" s="12"/>
    </row>
    <row r="76" spans="1:6" ht="14.25">
      <c r="A76" s="10" t="s">
        <v>63</v>
      </c>
      <c r="B76" s="68">
        <v>50000</v>
      </c>
      <c r="C76" s="19">
        <v>0</v>
      </c>
      <c r="D76" s="19">
        <v>50000</v>
      </c>
      <c r="E76" s="19">
        <v>0</v>
      </c>
      <c r="F76" s="12" t="s">
        <v>18</v>
      </c>
    </row>
    <row r="77" spans="1:6" ht="14.25">
      <c r="A77" s="10"/>
      <c r="B77" s="68"/>
      <c r="C77" s="19"/>
      <c r="D77" s="19"/>
      <c r="E77" s="19"/>
      <c r="F77" s="12"/>
    </row>
    <row r="78" spans="1:6" ht="14.25">
      <c r="A78" s="10" t="s">
        <v>64</v>
      </c>
      <c r="B78" s="68">
        <f>796+519</f>
        <v>1315</v>
      </c>
      <c r="C78" s="19">
        <v>261.793</v>
      </c>
      <c r="D78" s="19">
        <v>1315</v>
      </c>
      <c r="E78" s="19">
        <v>262</v>
      </c>
      <c r="F78" s="12" t="s">
        <v>36</v>
      </c>
    </row>
    <row r="79" spans="1:6" ht="14.25">
      <c r="A79" s="10"/>
      <c r="B79" s="68"/>
      <c r="C79" s="19"/>
      <c r="D79" s="19"/>
      <c r="E79" s="19"/>
      <c r="F79" s="12"/>
    </row>
    <row r="80" spans="1:6" ht="14.25">
      <c r="A80" s="10" t="s">
        <v>65</v>
      </c>
      <c r="B80" s="68">
        <v>0</v>
      </c>
      <c r="C80" s="19">
        <v>1964.85</v>
      </c>
      <c r="D80" s="19">
        <v>2000</v>
      </c>
      <c r="E80" s="19">
        <v>1965</v>
      </c>
      <c r="F80" s="12" t="s">
        <v>18</v>
      </c>
    </row>
    <row r="81" spans="1:6" ht="14.25">
      <c r="A81" s="10"/>
      <c r="B81" s="68"/>
      <c r="C81" s="19"/>
      <c r="D81" s="19"/>
      <c r="E81" s="19"/>
      <c r="F81" s="12"/>
    </row>
    <row r="82" spans="1:6" ht="14.25">
      <c r="A82" s="10" t="s">
        <v>66</v>
      </c>
      <c r="B82" s="68">
        <v>8425</v>
      </c>
      <c r="C82" s="19">
        <v>8425.6</v>
      </c>
      <c r="D82" s="19">
        <v>8425</v>
      </c>
      <c r="E82" s="19">
        <v>8426</v>
      </c>
      <c r="F82" s="12" t="s">
        <v>58</v>
      </c>
    </row>
    <row r="83" spans="1:6" ht="12.75">
      <c r="A83" s="14"/>
      <c r="B83" s="67"/>
      <c r="C83" s="16"/>
      <c r="D83" s="16"/>
      <c r="E83" s="16"/>
      <c r="F83" s="17"/>
    </row>
    <row r="84" spans="1:6" ht="12.75">
      <c r="A84" s="34"/>
      <c r="B84" s="67"/>
      <c r="C84" s="16"/>
      <c r="D84" s="16"/>
      <c r="E84" s="16"/>
      <c r="F84" s="16"/>
    </row>
    <row r="85" spans="1:6" ht="15.75" thickBot="1">
      <c r="A85" s="72" t="s">
        <v>88</v>
      </c>
      <c r="B85" s="32">
        <f>SUM(B55+B57+B59+B62+B64+B66+B70+B72+B74+B76+B78+B80+B82)</f>
        <v>302926.50899999996</v>
      </c>
      <c r="C85" s="32">
        <f>SUM(C55+C57+C59+C62+C64+C66+C70+C72+C74+C76+C78+C80+C82)</f>
        <v>60414.55607</v>
      </c>
      <c r="D85" s="32">
        <f>SUM(D55+D57+D59+D62+D64+D66+D70+D72+D74+D76+D78+D80+D82)</f>
        <v>630815.853</v>
      </c>
      <c r="E85" s="32">
        <f>SUM(E55+E57+E59+E62+E64+E66+E70+E72+E74+E76+E78+E80+E82)</f>
        <v>379921.89812</v>
      </c>
      <c r="F85" s="33"/>
    </row>
    <row r="86" spans="1:6" ht="15">
      <c r="A86" s="73" t="s">
        <v>90</v>
      </c>
      <c r="B86" s="62"/>
      <c r="C86" s="7"/>
      <c r="D86" s="7"/>
      <c r="E86" s="8"/>
      <c r="F86" s="9"/>
    </row>
    <row r="87" spans="1:6" ht="14.25">
      <c r="A87" s="10" t="s">
        <v>89</v>
      </c>
      <c r="B87" s="63">
        <v>3750000</v>
      </c>
      <c r="C87" s="11">
        <v>3020700</v>
      </c>
      <c r="D87" s="11">
        <v>3750000</v>
      </c>
      <c r="E87" s="11">
        <v>3020700</v>
      </c>
      <c r="F87" s="12">
        <v>2008</v>
      </c>
    </row>
    <row r="88" spans="1:6" ht="12.75">
      <c r="A88" s="34"/>
      <c r="B88" s="67"/>
      <c r="C88" s="16"/>
      <c r="D88" s="16"/>
      <c r="E88" s="16"/>
      <c r="F88" s="16"/>
    </row>
    <row r="89" spans="1:6" ht="15.75" thickBot="1">
      <c r="A89" s="72" t="s">
        <v>91</v>
      </c>
      <c r="B89" s="32">
        <v>3750000</v>
      </c>
      <c r="C89" s="32">
        <v>3020700</v>
      </c>
      <c r="D89" s="32">
        <v>3750000</v>
      </c>
      <c r="E89" s="32">
        <v>3020700</v>
      </c>
      <c r="F89" s="33"/>
    </row>
  </sheetData>
  <mergeCells count="2">
    <mergeCell ref="A4:A5"/>
    <mergeCell ref="F4:F5"/>
  </mergeCells>
  <printOptions/>
  <pageMargins left="0.7874015748031497" right="0.7874015748031497" top="0.5905511811023623" bottom="0.5905511811023623" header="0" footer="0"/>
  <pageSetup horizontalDpi="600" verticalDpi="600" orientation="landscape" paperSize="9" r:id="rId3"/>
  <headerFooter alignWithMargins="0">
    <oddFooter>&amp;C&amp;P af &amp;N</oddFooter>
  </headerFooter>
  <rowBreaks count="1" manualBreakCount="1">
    <brk id="37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3.00390625" style="113" customWidth="1"/>
    <col min="2" max="2" width="16.8515625" style="113" customWidth="1"/>
    <col min="3" max="3" width="18.28125" style="113" customWidth="1"/>
    <col min="4" max="4" width="15.57421875" style="113" customWidth="1"/>
    <col min="5" max="5" width="13.421875" style="113" customWidth="1"/>
    <col min="6" max="7" width="13.00390625" style="113" customWidth="1"/>
    <col min="8" max="8" width="10.8515625" style="113" customWidth="1"/>
  </cols>
  <sheetData>
    <row r="1" ht="12.75">
      <c r="A1" s="112" t="s">
        <v>141</v>
      </c>
    </row>
    <row r="2" ht="12.75">
      <c r="A2" s="112"/>
    </row>
    <row r="3" ht="13.5" thickBot="1">
      <c r="A3" s="114" t="s">
        <v>139</v>
      </c>
    </row>
    <row r="4" spans="1:8" ht="48.75" thickBot="1">
      <c r="A4" s="115"/>
      <c r="B4" s="116" t="s">
        <v>142</v>
      </c>
      <c r="C4" s="117" t="s">
        <v>143</v>
      </c>
      <c r="D4" s="118" t="s">
        <v>144</v>
      </c>
      <c r="E4" s="118" t="s">
        <v>145</v>
      </c>
      <c r="F4" s="116" t="s">
        <v>146</v>
      </c>
      <c r="G4" s="119" t="s">
        <v>172</v>
      </c>
      <c r="H4" s="120" t="s">
        <v>147</v>
      </c>
    </row>
    <row r="5" spans="1:8" ht="13.5" thickBot="1">
      <c r="A5" s="121" t="s">
        <v>148</v>
      </c>
      <c r="B5" s="122"/>
      <c r="C5" s="123"/>
      <c r="D5" s="124"/>
      <c r="E5" s="124"/>
      <c r="F5" s="122"/>
      <c r="G5" s="125"/>
      <c r="H5" s="125"/>
    </row>
    <row r="6" spans="1:8" ht="13.5" thickBot="1">
      <c r="A6" s="126"/>
      <c r="B6" s="127"/>
      <c r="C6" s="128"/>
      <c r="D6" s="129" t="s">
        <v>149</v>
      </c>
      <c r="E6" s="130"/>
      <c r="F6" s="131"/>
      <c r="G6" s="132"/>
      <c r="H6" s="132"/>
    </row>
    <row r="7" spans="1:8" ht="36">
      <c r="A7" s="133" t="s">
        <v>150</v>
      </c>
      <c r="B7" s="134" t="s">
        <v>151</v>
      </c>
      <c r="C7" s="135" t="s">
        <v>152</v>
      </c>
      <c r="D7" s="136" t="s">
        <v>153</v>
      </c>
      <c r="E7" s="137">
        <v>-50000</v>
      </c>
      <c r="F7" s="138" t="s">
        <v>154</v>
      </c>
      <c r="G7" s="139"/>
      <c r="H7" s="139"/>
    </row>
    <row r="8" spans="1:8" ht="36">
      <c r="A8" s="133" t="s">
        <v>155</v>
      </c>
      <c r="B8" s="134" t="s">
        <v>151</v>
      </c>
      <c r="C8" s="135" t="s">
        <v>152</v>
      </c>
      <c r="D8" s="136" t="s">
        <v>153</v>
      </c>
      <c r="E8" s="137">
        <v>-314</v>
      </c>
      <c r="F8" s="138" t="s">
        <v>156</v>
      </c>
      <c r="G8" s="139"/>
      <c r="H8" s="139" t="s">
        <v>157</v>
      </c>
    </row>
    <row r="9" spans="1:8" ht="36">
      <c r="A9" s="133" t="s">
        <v>158</v>
      </c>
      <c r="B9" s="140" t="s">
        <v>159</v>
      </c>
      <c r="C9" s="135" t="s">
        <v>152</v>
      </c>
      <c r="D9" s="136" t="s">
        <v>153</v>
      </c>
      <c r="E9" s="137">
        <v>-24400</v>
      </c>
      <c r="F9" s="138" t="s">
        <v>154</v>
      </c>
      <c r="G9" s="139"/>
      <c r="H9" s="139"/>
    </row>
    <row r="10" spans="1:8" ht="48">
      <c r="A10" s="133" t="s">
        <v>160</v>
      </c>
      <c r="B10" s="140" t="s">
        <v>161</v>
      </c>
      <c r="C10" s="135" t="s">
        <v>162</v>
      </c>
      <c r="D10" s="136" t="s">
        <v>163</v>
      </c>
      <c r="E10" s="137">
        <v>-202</v>
      </c>
      <c r="F10" s="138" t="s">
        <v>164</v>
      </c>
      <c r="G10" s="139"/>
      <c r="H10" s="139" t="s">
        <v>157</v>
      </c>
    </row>
    <row r="11" spans="1:8" ht="12.75">
      <c r="A11" s="141" t="s">
        <v>165</v>
      </c>
      <c r="B11" s="142"/>
      <c r="C11" s="142"/>
      <c r="D11" s="143"/>
      <c r="E11" s="144">
        <f>SUM(E6:E10)</f>
        <v>-74916</v>
      </c>
      <c r="F11" s="145"/>
      <c r="G11" s="146"/>
      <c r="H11" s="147"/>
    </row>
    <row r="12" spans="1:8" ht="13.5" thickBot="1">
      <c r="A12" s="133"/>
      <c r="B12" s="140"/>
      <c r="C12" s="135"/>
      <c r="D12" s="136"/>
      <c r="E12" s="137"/>
      <c r="F12" s="138"/>
      <c r="G12" s="139"/>
      <c r="H12" s="139"/>
    </row>
    <row r="13" spans="1:8" ht="13.5" thickBot="1">
      <c r="A13" s="126"/>
      <c r="B13" s="127"/>
      <c r="C13" s="128"/>
      <c r="D13" s="129" t="s">
        <v>166</v>
      </c>
      <c r="E13" s="148"/>
      <c r="F13" s="131"/>
      <c r="G13" s="132"/>
      <c r="H13" s="132"/>
    </row>
    <row r="14" spans="1:8" ht="36">
      <c r="A14" s="133" t="s">
        <v>167</v>
      </c>
      <c r="B14" s="134" t="s">
        <v>151</v>
      </c>
      <c r="C14" s="135" t="s">
        <v>152</v>
      </c>
      <c r="D14" s="136" t="s">
        <v>153</v>
      </c>
      <c r="E14" s="137">
        <v>50000</v>
      </c>
      <c r="F14" s="138" t="s">
        <v>154</v>
      </c>
      <c r="G14" s="139"/>
      <c r="H14" s="139"/>
    </row>
    <row r="15" spans="1:8" ht="36">
      <c r="A15" s="133" t="s">
        <v>168</v>
      </c>
      <c r="B15" s="134" t="s">
        <v>151</v>
      </c>
      <c r="C15" s="135" t="s">
        <v>152</v>
      </c>
      <c r="D15" s="136" t="s">
        <v>153</v>
      </c>
      <c r="E15" s="137">
        <v>314</v>
      </c>
      <c r="F15" s="138" t="s">
        <v>156</v>
      </c>
      <c r="G15" s="139"/>
      <c r="H15" s="139" t="s">
        <v>157</v>
      </c>
    </row>
    <row r="16" spans="1:8" ht="24">
      <c r="A16" s="133" t="s">
        <v>169</v>
      </c>
      <c r="B16" s="140" t="s">
        <v>159</v>
      </c>
      <c r="C16" s="135" t="s">
        <v>152</v>
      </c>
      <c r="D16" s="136" t="s">
        <v>153</v>
      </c>
      <c r="E16" s="137">
        <v>24400</v>
      </c>
      <c r="F16" s="138" t="s">
        <v>154</v>
      </c>
      <c r="G16" s="139"/>
      <c r="H16" s="139"/>
    </row>
    <row r="17" spans="1:8" ht="48">
      <c r="A17" s="133" t="s">
        <v>170</v>
      </c>
      <c r="B17" s="140" t="s">
        <v>161</v>
      </c>
      <c r="C17" s="135" t="s">
        <v>162</v>
      </c>
      <c r="D17" s="136" t="s">
        <v>163</v>
      </c>
      <c r="E17" s="137">
        <v>202</v>
      </c>
      <c r="F17" s="138" t="s">
        <v>164</v>
      </c>
      <c r="G17" s="139"/>
      <c r="H17" s="139"/>
    </row>
    <row r="18" spans="1:8" ht="12.75">
      <c r="A18" s="133"/>
      <c r="B18" s="140"/>
      <c r="C18" s="135"/>
      <c r="D18" s="136"/>
      <c r="E18" s="149"/>
      <c r="F18" s="138"/>
      <c r="G18" s="139"/>
      <c r="H18" s="139"/>
    </row>
    <row r="19" spans="1:8" ht="12.75">
      <c r="A19" s="141" t="s">
        <v>171</v>
      </c>
      <c r="B19" s="142"/>
      <c r="C19" s="142"/>
      <c r="D19" s="143"/>
      <c r="E19" s="144">
        <f>SUM(E14:E18)</f>
        <v>74916</v>
      </c>
      <c r="F19" s="145"/>
      <c r="G19" s="146"/>
      <c r="H19" s="147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Københavns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Steen Balslev</dc:creator>
  <cp:keywords/>
  <dc:description/>
  <cp:lastModifiedBy>Steen Balslev</cp:lastModifiedBy>
  <cp:lastPrinted>2008-03-07T09:53:55Z</cp:lastPrinted>
  <dcterms:created xsi:type="dcterms:W3CDTF">2008-03-05T10:58:44Z</dcterms:created>
  <dcterms:modified xsi:type="dcterms:W3CDTF">2008-03-13T15:30:59Z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