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firstSheet="5" activeTab="7"/>
  </bookViews>
  <sheets>
    <sheet name="Forside" sheetId="1" r:id="rId1"/>
    <sheet name="Garantier, event.ret. og forpl." sheetId="2" r:id="rId2"/>
    <sheet name="Deponering og indgåede lejeafta" sheetId="3" r:id="rId3"/>
    <sheet name="Selskabsdeltagelse" sheetId="4" r:id="rId4"/>
    <sheet name="Redegørelse for arb. udført...." sheetId="5" r:id="rId5"/>
    <sheet name="Låneberettigede udgifter" sheetId="6" r:id="rId6"/>
    <sheet name="Tilskudsmidler" sheetId="7" r:id="rId7"/>
    <sheet name="Anlægsregnskaber" sheetId="8" r:id="rId8"/>
    <sheet name="Leasing" sheetId="9" r:id="rId9"/>
  </sheets>
  <definedNames/>
  <calcPr fullCalcOnLoad="1"/>
</workbook>
</file>

<file path=xl/sharedStrings.xml><?xml version="1.0" encoding="utf-8"?>
<sst xmlns="http://schemas.openxmlformats.org/spreadsheetml/2006/main" count="441" uniqueCount="347">
  <si>
    <t>Garantier, eventualrettigheder og forpligtelser</t>
  </si>
  <si>
    <t>Kr.</t>
  </si>
  <si>
    <t>Garantier, støttet byggeri</t>
  </si>
  <si>
    <t>Garantier, sanering og byfornyelse</t>
  </si>
  <si>
    <t>Garantier for øvrige lån</t>
  </si>
  <si>
    <t>Driftsoverenskomster m. selvejende institutioner</t>
  </si>
  <si>
    <t>Underskudsgarantier</t>
  </si>
  <si>
    <t>Lejeaftaler</t>
  </si>
  <si>
    <t>Tilbagekøb</t>
  </si>
  <si>
    <t>Restgæld</t>
  </si>
  <si>
    <t>Bemærkninger</t>
  </si>
  <si>
    <t>Oprindeligt lån</t>
  </si>
  <si>
    <t>Antal</t>
  </si>
  <si>
    <t>Garantibeløb</t>
  </si>
  <si>
    <t>Antal lejemål</t>
  </si>
  <si>
    <t>Årlig leje</t>
  </si>
  <si>
    <t>Beløb</t>
  </si>
  <si>
    <t>Deponering og indgåede lejeaftaler i 2006</t>
  </si>
  <si>
    <t>1.000 Kr.</t>
  </si>
  <si>
    <t>Leasing</t>
  </si>
  <si>
    <t>Redegørelse for arbejde udført for andre offentlige myndigheder i 2006</t>
  </si>
  <si>
    <t>Kunde</t>
  </si>
  <si>
    <t>Kategori</t>
  </si>
  <si>
    <t>Opgave</t>
  </si>
  <si>
    <t>Udbud</t>
  </si>
  <si>
    <t>Faktiske omkostninger</t>
  </si>
  <si>
    <t>Fakturabeløb</t>
  </si>
  <si>
    <t>Forklaring på forskelle</t>
  </si>
  <si>
    <t>Låneberettigede udgifter</t>
  </si>
  <si>
    <t>Funktion</t>
  </si>
  <si>
    <t>Dranst</t>
  </si>
  <si>
    <t>Tekst</t>
  </si>
  <si>
    <t>§ 2 pkt.</t>
  </si>
  <si>
    <t>Udgifter, hele 1.000 kr. (ekskl. moms)</t>
  </si>
  <si>
    <t>Tilskudsmidler</t>
  </si>
  <si>
    <t>Anlægsregnskaber</t>
  </si>
  <si>
    <t>Selskabsdeltagelse</t>
  </si>
  <si>
    <t>Selskabets navn</t>
  </si>
  <si>
    <t>Selskabsform</t>
  </si>
  <si>
    <t>Ansvarligt udvalg</t>
  </si>
  <si>
    <t>Inskudskapital KK (1.000 kr.)</t>
  </si>
  <si>
    <t>Ejerandel</t>
  </si>
  <si>
    <t>Selskabets egenkapital (1.000 kr.)</t>
  </si>
  <si>
    <t>Værdi af ejerandel</t>
  </si>
  <si>
    <t>Andel af hæftelse</t>
  </si>
  <si>
    <t>Driftstilskud i 2006 (1.000 kr.)</t>
  </si>
  <si>
    <t>Københavns Kommunes repræsentanter</t>
  </si>
  <si>
    <t>Eventualfor-pligtelser (1.000 kr.)</t>
  </si>
  <si>
    <t>Selskaber udenfor listen, der udøver virksomhed af betydelig kommunal interesse, kan påføres nedenstående skema 2</t>
  </si>
  <si>
    <t>Indskudskapital KK (1.000 kr.)</t>
  </si>
  <si>
    <t>Omkostningskalkulation</t>
  </si>
  <si>
    <t>Regnskab 2006</t>
  </si>
  <si>
    <t>Deponering og indgåede lejeaftaler</t>
  </si>
  <si>
    <t>Redegørelse for arbejde udført for andre offentlige myndigheder</t>
  </si>
  <si>
    <t>Note: mangler der linjer indsættes der blot en ekstra række under den relevante kategori - kun de hvide felter udfyldes.</t>
  </si>
  <si>
    <t>Note: mangler der linjer indsættes der blot en ekstra række - kun de hvide felter udfyldes.</t>
  </si>
  <si>
    <t>Dokumentet indeholder skabeloner til følgende obligatoriske oversigter:</t>
  </si>
  <si>
    <t>Deponeringsbeløb</t>
  </si>
  <si>
    <t>Finansiering af deponeringsbeløbet</t>
  </si>
  <si>
    <t>Nye eller forbedrede lejemål hos eksterne udlejere i 2006</t>
  </si>
  <si>
    <t>BR sags nr. eller udvalg og sags nr.</t>
  </si>
  <si>
    <t>Hvilke aktiviteter</t>
  </si>
  <si>
    <t>Tilskudsgiver</t>
  </si>
  <si>
    <t>Anlæg</t>
  </si>
  <si>
    <t>Tilskudsbeløb</t>
  </si>
  <si>
    <t>IM konto</t>
  </si>
  <si>
    <t>Med-finansiering</t>
  </si>
  <si>
    <t>Løbetid</t>
  </si>
  <si>
    <t>1.000 kr.</t>
  </si>
  <si>
    <t>Bevilling året</t>
  </si>
  <si>
    <t>Forbrug året</t>
  </si>
  <si>
    <t>Bevilling i alt</t>
  </si>
  <si>
    <t>Forbrug i alt</t>
  </si>
  <si>
    <t>Afsluttet/afsluttes år</t>
  </si>
  <si>
    <t>IM-konto</t>
  </si>
  <si>
    <t>- Anlæg 1 (anlægsnummer)</t>
  </si>
  <si>
    <t>- Anlæg 2 (anlægsnummer)</t>
  </si>
  <si>
    <t>I alt</t>
  </si>
  <si>
    <t>Udvalg: Kultur- og Fritidsudvalget</t>
  </si>
  <si>
    <t>Hvilke</t>
  </si>
  <si>
    <t>Tidshorisont</t>
  </si>
  <si>
    <t>BR-sag</t>
  </si>
  <si>
    <t>0.13.3</t>
  </si>
  <si>
    <t xml:space="preserve">  -  Kastelsvej 60, renovering (B.8063004)</t>
  </si>
  <si>
    <t>0.30.3</t>
  </si>
  <si>
    <t xml:space="preserve">  -  Vandkulturhus i Valby Idræt. (B.8061202)</t>
  </si>
  <si>
    <t xml:space="preserve">  -  Helgoland (B.8061204)</t>
  </si>
  <si>
    <t xml:space="preserve">  -  Pavillon på Kulbanevej (B.8061205)</t>
  </si>
  <si>
    <t xml:space="preserve">  -  Idræts- og Kulturhus Nørreb (B.8061206)</t>
  </si>
  <si>
    <t xml:space="preserve">  -  Opgrad. af Østerbro Stad (B.8061207)</t>
  </si>
  <si>
    <t xml:space="preserve">  -  Frankrigsgade Svømmehal (B.8061209)</t>
  </si>
  <si>
    <t xml:space="preserve">  -  Grøndals Centret - ren. af tag (B.8061212)</t>
  </si>
  <si>
    <t xml:space="preserve">  -  Sundby Idrætspark (B.8061213)</t>
  </si>
  <si>
    <t xml:space="preserve">  -  Opgrad. skolefodboldbaner (B.8061214)</t>
  </si>
  <si>
    <t xml:space="preserve">  -  Idræts og Kulturhus Holmbla (B.8061215)</t>
  </si>
  <si>
    <t xml:space="preserve">  -  Sundby Bad - renovering (B.8061216)</t>
  </si>
  <si>
    <t xml:space="preserve">  -  Minikunstgræsbaner (B.8061222)</t>
  </si>
  <si>
    <t>0.31.3</t>
  </si>
  <si>
    <t xml:space="preserve">  -  Bellahøj Svømmehal (B.8061224)</t>
  </si>
  <si>
    <t>0.35.3</t>
  </si>
  <si>
    <t xml:space="preserve">  -  Multikulturhus i Utterslev (B.8061201)</t>
  </si>
  <si>
    <t xml:space="preserve">  -  Beauvaisgrunden (B.8061203)</t>
  </si>
  <si>
    <t xml:space="preserve">  -  Pladsen ved Kulturhuset (B.8061223)</t>
  </si>
  <si>
    <t>3.01.3</t>
  </si>
  <si>
    <t xml:space="preserve">  -  Nyboder Skole / Fritidshjem (B.8063001)</t>
  </si>
  <si>
    <t xml:space="preserve">  -  Islands Brygge, Skolen på (B.8063025)</t>
  </si>
  <si>
    <t xml:space="preserve">  -  Strandvejsskolen/Fritidshjem (B.8063026)</t>
  </si>
  <si>
    <t xml:space="preserve">  -  Nyboder Skole multihal (B.8063027)</t>
  </si>
  <si>
    <t xml:space="preserve">  -  Vanløse Skole helhedsplan (B.8063028)</t>
  </si>
  <si>
    <t xml:space="preserve">  -  Vesterbro, Ny skole (B.8063029)</t>
  </si>
  <si>
    <t xml:space="preserve">  -  Utterslev Skole / Klub (B.8063032)</t>
  </si>
  <si>
    <t xml:space="preserve">  -  Heibergskolen / KKFO (B.8063033)</t>
  </si>
  <si>
    <t xml:space="preserve">  -  Gerbrandskolen, tandklinik (B.8063040)</t>
  </si>
  <si>
    <t xml:space="preserve">  -  Gasværksvejens Skole (B.8063041)</t>
  </si>
  <si>
    <t xml:space="preserve">  -  Sortedamskolen etape 2 (B.8063049)</t>
  </si>
  <si>
    <t xml:space="preserve">  -  Sølvgade Skole (B.8063050)</t>
  </si>
  <si>
    <t xml:space="preserve">  -  Kirsebærhavens Skole, pav. (B.8063052)</t>
  </si>
  <si>
    <t xml:space="preserve">  -  Oehlenschlægergades Skole (B.8063053)</t>
  </si>
  <si>
    <t xml:space="preserve">  -  Randersgade Skole, proj. (B.8063054)</t>
  </si>
  <si>
    <t xml:space="preserve">  -  Lundehusskolen etape 4 (B.8063055)</t>
  </si>
  <si>
    <t xml:space="preserve">  -  Hanssted Skole (B.8063056)</t>
  </si>
  <si>
    <t xml:space="preserve">  -  Grøndalsvængets Skole (B.8063057)</t>
  </si>
  <si>
    <t xml:space="preserve">  -  Langelinie Skole (B.8063058)</t>
  </si>
  <si>
    <t xml:space="preserve">  -  Sundbyøster Skole (B.8063059)</t>
  </si>
  <si>
    <t xml:space="preserve">  -  Frederiksgårdsskolen (B.8063060)</t>
  </si>
  <si>
    <t xml:space="preserve">  -  Kildevældsskolen - 4.etape (B.8063061)</t>
  </si>
  <si>
    <t xml:space="preserve">  -  Musikskolen (B.8063069)</t>
  </si>
  <si>
    <t xml:space="preserve">  -  Gerbrandskolen helhedsplan (B.8063070)</t>
  </si>
  <si>
    <t xml:space="preserve">  -  Brønshøj Skole, etape 4 (B.8063072)</t>
  </si>
  <si>
    <t xml:space="preserve">  -  Korsager Skole (B.8063081)</t>
  </si>
  <si>
    <t xml:space="preserve">  -  Lundehusskolen, etape 2+3 (B.8063083)</t>
  </si>
  <si>
    <t xml:space="preserve">  -  Sydhavn Ny Skole (B.8063085)</t>
  </si>
  <si>
    <t xml:space="preserve">  -  Valby Skole (B.8063091)</t>
  </si>
  <si>
    <t xml:space="preserve">  -  Prøvehallen (B.8063093)</t>
  </si>
  <si>
    <t xml:space="preserve">  -  Prøvehallen, solcelleprojekt (B.8063094)</t>
  </si>
  <si>
    <t>3.05.3</t>
  </si>
  <si>
    <t xml:space="preserve">  -  Gasværksvej Skole/KKFO (B.8063041)</t>
  </si>
  <si>
    <t xml:space="preserve">  -  Peder Vedelsgade Special (B.8063045)</t>
  </si>
  <si>
    <t xml:space="preserve">  -  Frejaskolen, Ny specialskole (B.8063074)</t>
  </si>
  <si>
    <t xml:space="preserve">  -  Korsager Skole / KKFO (B.8063081)</t>
  </si>
  <si>
    <t xml:space="preserve">  -  Lundehusskolen etape 2+3 (B.8063083)</t>
  </si>
  <si>
    <t xml:space="preserve">  -  Charlottegården, Skolen i (B.8063086)</t>
  </si>
  <si>
    <t xml:space="preserve">  -  Valby Skole, Ovnhallen (B.8063092)</t>
  </si>
  <si>
    <t xml:space="preserve">  -  Sortedamsskolen (B.8063049)</t>
  </si>
  <si>
    <t xml:space="preserve">  -  Kildevældsskolen - etape 1-4 (B.8063061)</t>
  </si>
  <si>
    <t>3.07.3</t>
  </si>
  <si>
    <t xml:space="preserve">  -  Kastelsvej, Skolen på (B.8063031)</t>
  </si>
  <si>
    <t xml:space="preserve">  -  Gl. Kalkbrænderivej 7 (B.8063047)</t>
  </si>
  <si>
    <t xml:space="preserve">  -  Ryparken - tand (B.8063062)</t>
  </si>
  <si>
    <t xml:space="preserve">  -  Frejaskolen, Ny Specialskole (B.8063075)</t>
  </si>
  <si>
    <t xml:space="preserve">  -  Øresundsskolen, filial &amp; klub (B.8063095)</t>
  </si>
  <si>
    <t>3.11.3</t>
  </si>
  <si>
    <t xml:space="preserve">  -  Ungdomsskolen i Utterslev (B.8063089)</t>
  </si>
  <si>
    <t>3.41.3</t>
  </si>
  <si>
    <t xml:space="preserve">  -  Ørestad Gymnasium (B.8063046)</t>
  </si>
  <si>
    <t>3.60.3</t>
  </si>
  <si>
    <t xml:space="preserve">  -  Thorvaldsens Museum (B.8061210)</t>
  </si>
  <si>
    <t>3.63.3</t>
  </si>
  <si>
    <t xml:space="preserve">  -  Øvelokaler Brune Kødby (B.8063068)</t>
  </si>
  <si>
    <t>5.11.3</t>
  </si>
  <si>
    <t xml:space="preserve">  -  Lerforsgade 14 (B.8063044)</t>
  </si>
  <si>
    <t>5.12.3</t>
  </si>
  <si>
    <t xml:space="preserve">  -  Vejlands Alle / Irlandsvej (B.8063066)</t>
  </si>
  <si>
    <t>5.14.3</t>
  </si>
  <si>
    <t xml:space="preserve">  -  Store Krog 98-100 (B.8063002)</t>
  </si>
  <si>
    <t xml:space="preserve">  -  Jagtvej 153 C</t>
  </si>
  <si>
    <t xml:space="preserve">  -  Tietgensgade 31C (B.8063005)</t>
  </si>
  <si>
    <t xml:space="preserve">  -  Tøndergade 10 (B.8063006)</t>
  </si>
  <si>
    <t xml:space="preserve">  -  Sluseholmen 15-17 (B.8063007)</t>
  </si>
  <si>
    <t xml:space="preserve">  -  Edvard Thomsens Vej 37, Øre (B.8063008)</t>
  </si>
  <si>
    <t xml:space="preserve">  -  Artillerivej 67, ny legeplads (B.8063009)</t>
  </si>
  <si>
    <t xml:space="preserve">  -  Gullfossgade 2 (B.8063010)</t>
  </si>
  <si>
    <t xml:space="preserve">  -  Tuborgvej 7 (B.8063011)</t>
  </si>
  <si>
    <t xml:space="preserve">  -  Enghavevej 88 (B.8063012)</t>
  </si>
  <si>
    <t xml:space="preserve">  -  Ribegade 21 (B.8063013)</t>
  </si>
  <si>
    <t xml:space="preserve">  -  Skelmosevej 3 (B.8063014)</t>
  </si>
  <si>
    <t xml:space="preserve">  -  Øster Voldgade 4B (B.8063015)</t>
  </si>
  <si>
    <t xml:space="preserve">  -  Abel Catrines Gade 17 (B.8063016)</t>
  </si>
  <si>
    <t xml:space="preserve">  -  Borgbjergsvej 30A (B.8063017)</t>
  </si>
  <si>
    <t xml:space="preserve">  -  Sjællandsgade 15, Nørretoppen (B.8063018)</t>
  </si>
  <si>
    <t xml:space="preserve">  -  Yderholmsvej 25, Jersie (B.8063019)</t>
  </si>
  <si>
    <t xml:space="preserve">  -  Artillerivej 75 (B.8063020)</t>
  </si>
  <si>
    <t xml:space="preserve">  -  Randersgade 24 (B.8063021)</t>
  </si>
  <si>
    <t xml:space="preserve">  -  Tom Kristensensvej 8, Fælledhaven (B.8063022)</t>
  </si>
  <si>
    <t xml:space="preserve">  -  Sankt Hans Gade 27 (B.8063023)</t>
  </si>
  <si>
    <t xml:space="preserve">  -  Skanderborggade 7-13 / Krausesvej 17 (B.8063024)</t>
  </si>
  <si>
    <t xml:space="preserve">  -  Centerparken 18-22 (B.8063038)</t>
  </si>
  <si>
    <t xml:space="preserve">  -  Tranemosevej 27, Stenurten (B.8063036)</t>
  </si>
  <si>
    <t xml:space="preserve">  -  Bymosevej, Isbjørnen (B.8063037)</t>
  </si>
  <si>
    <t xml:space="preserve">  -  Rymarksvej - Karlsvognen (B.8063039)</t>
  </si>
  <si>
    <t xml:space="preserve">  -  Prinsesse Charlottes Gade 59, Jagtvejens (B.8063043)</t>
  </si>
  <si>
    <t xml:space="preserve">  -  Snorresgade 14 (B.8063063)</t>
  </si>
  <si>
    <t xml:space="preserve">  -  Carl Nielsens Alle 27 (B.8063064)</t>
  </si>
  <si>
    <t xml:space="preserve">  -  Vigerslev Alle 10 (B.8063065)</t>
  </si>
  <si>
    <t xml:space="preserve">  -  Næstvedgade 3 (B.8063067)</t>
  </si>
  <si>
    <t>5.15.3</t>
  </si>
  <si>
    <t xml:space="preserve">  -  Rughavevej 10 - Specialklub (B.8063042)</t>
  </si>
  <si>
    <t xml:space="preserve">  -  Gl. Kalkbrænderi 9 (B.8063048)</t>
  </si>
  <si>
    <t xml:space="preserve">  -  Prinsessegade 74-76, Bod (B.8063078)</t>
  </si>
  <si>
    <t xml:space="preserve">  -  Dannebrogsgade 49 B.8063079)</t>
  </si>
  <si>
    <t xml:space="preserve">  -  Thorshave (B.8063088)</t>
  </si>
  <si>
    <t>5.16.3</t>
  </si>
  <si>
    <t xml:space="preserve">  -  Maritimt Ungdomshus (B.8063034)</t>
  </si>
  <si>
    <t xml:space="preserve">  -  Præstøgade 21 (B.8063051)</t>
  </si>
  <si>
    <t xml:space="preserve">  -  Carl Nielsens Alle 19 (B.8063073)</t>
  </si>
  <si>
    <t xml:space="preserve">  -  Frejaskolen, Ny Specialskole (B.8063076)</t>
  </si>
  <si>
    <t xml:space="preserve">  -  Dannebrogsgade 49 (B.8063080)</t>
  </si>
  <si>
    <t xml:space="preserve">  -  Ungdomsskolen i Utterslev (B.8063090)</t>
  </si>
  <si>
    <t xml:space="preserve">  -  Øresundsskolen, filial &amp; klub (B.8063096)</t>
  </si>
  <si>
    <t>5.17.3</t>
  </si>
  <si>
    <t xml:space="preserve">  -  Primulavej 2, Frederikshøj (B.8066009)</t>
  </si>
  <si>
    <t>5.30.3</t>
  </si>
  <si>
    <t xml:space="preserve">  -  Dortheagården, plejeboliger (B.8062003)</t>
  </si>
  <si>
    <t>5.32.3</t>
  </si>
  <si>
    <t xml:space="preserve">  -  Bystævneparken, centralkøk. (B.8062002)</t>
  </si>
  <si>
    <t>5.50.3</t>
  </si>
  <si>
    <t xml:space="preserve">  -  Ringergården (B.8066001)</t>
  </si>
  <si>
    <t xml:space="preserve">  -  Persillevej 2, Sundbyvang (B.8066003)</t>
  </si>
  <si>
    <t>5.52.3</t>
  </si>
  <si>
    <t xml:space="preserve">  -  Granvej 14, Ringbo (B.8066004)</t>
  </si>
  <si>
    <t xml:space="preserve">  -  Borgervænget 3, 3.sal - Clean (B.8066006)</t>
  </si>
  <si>
    <t xml:space="preserve">  -  Rådmandsgade 60 - Gaderum (B.8066007)</t>
  </si>
  <si>
    <t xml:space="preserve">  -  Sundholm bygn. 10N og 1.sal (B.8066010)</t>
  </si>
  <si>
    <t>5.55.3</t>
  </si>
  <si>
    <t xml:space="preserve">  -  Tranehavegård 14, (B.8066002)</t>
  </si>
  <si>
    <t xml:space="preserve">  -  Boserupvej 7 - Lindegården (B.8066008)</t>
  </si>
  <si>
    <t xml:space="preserve">  -  Borgervænget 3, 4.sal (B.8066011)</t>
  </si>
  <si>
    <t>6.50.3</t>
  </si>
  <si>
    <t xml:space="preserve">  -  Tomatvej 11, Irlandsvej (B.8066005)</t>
  </si>
  <si>
    <t xml:space="preserve">  -  Musvågevej 15, jobcenter (B.8068001)</t>
  </si>
  <si>
    <t xml:space="preserve">  -  Parkeringshus Nørrebro (B.8061211)</t>
  </si>
  <si>
    <t>6.51.3</t>
  </si>
  <si>
    <t xml:space="preserve">  -  Trianglen, borgerservice (B.8061101)</t>
  </si>
  <si>
    <t xml:space="preserve">  -  Borgerservicecenter, JVA (B.8061102)</t>
  </si>
  <si>
    <t xml:space="preserve">  -  Ragnhildgade 1 - rømning (B.8064001)</t>
  </si>
  <si>
    <t xml:space="preserve">Udvalg: Kultur- og Fritidsudvalget </t>
  </si>
  <si>
    <t xml:space="preserve">Selskabsdeltagelse </t>
  </si>
  <si>
    <t>Kunststyrelsen</t>
  </si>
  <si>
    <t>3.60.1</t>
  </si>
  <si>
    <t>Kulturarvsstyrelsen</t>
  </si>
  <si>
    <t>Brevcenter</t>
  </si>
  <si>
    <t>Veluxfonden</t>
  </si>
  <si>
    <t>Udvikling af udstillingscenter i dieselmotorbygning på H.C. Ørsted Værket.</t>
  </si>
  <si>
    <t>MAN B&amp;W Diesel</t>
  </si>
  <si>
    <t>Til projekt Liv og død - fortællinger og ritualer i et flerkulturelt København</t>
  </si>
  <si>
    <t>BIF</t>
  </si>
  <si>
    <t>Decentralisering af bygningsfredningsområdet</t>
  </si>
  <si>
    <t>KUAS</t>
  </si>
  <si>
    <t>"Ret &amp; Straf" museet på Nytorv</t>
  </si>
  <si>
    <t>Domstolshistorisk Selskab</t>
  </si>
  <si>
    <t>Kunsthallen Nikolaj</t>
  </si>
  <si>
    <t>Projektet "Penalhus - andet end blyanter"</t>
  </si>
  <si>
    <t>Ministeriet for flygtninge, indvandrere og integration</t>
  </si>
  <si>
    <t>3.50.1</t>
  </si>
  <si>
    <t>1 år</t>
  </si>
  <si>
    <t>SkrivOpgave</t>
  </si>
  <si>
    <t>Biblioteksstyrelsen</t>
  </si>
  <si>
    <t>Flerårig</t>
  </si>
  <si>
    <t>Downlaan</t>
  </si>
  <si>
    <t>Absalon.nu</t>
  </si>
  <si>
    <t>Biblioteksstyrelsen/Kulturarvstyrelsen</t>
  </si>
  <si>
    <t>Melodibasen</t>
  </si>
  <si>
    <t>Dotbot</t>
  </si>
  <si>
    <t>Enter-X</t>
  </si>
  <si>
    <t>Dansk Bibliotekscenter</t>
  </si>
  <si>
    <t>A/S</t>
  </si>
  <si>
    <t>Kultur- og Fritid</t>
  </si>
  <si>
    <t>*) 2.107.050</t>
  </si>
  <si>
    <t>Karsten Thomsen</t>
  </si>
  <si>
    <t>Bellevue Strandpark</t>
  </si>
  <si>
    <t>I/S</t>
  </si>
  <si>
    <t>Simon Strange (A), John Bloch Poulsen</t>
  </si>
  <si>
    <t>Køge Bugt Strandpark</t>
  </si>
  <si>
    <t>Erik Willumsgaard, Heidi Wang (V), Ikram Sarwar (A)</t>
  </si>
  <si>
    <t>*) Heraf er 600.000 kr. bogført i Økonomiforvaltningen</t>
  </si>
  <si>
    <t>3. mandsleje</t>
  </si>
  <si>
    <t>Samtlige 3. mandslejemål som administreres 
af Københavns Ejendomme</t>
  </si>
  <si>
    <t>Ingen</t>
  </si>
  <si>
    <t>ingen</t>
  </si>
  <si>
    <t>6.50.1</t>
  </si>
  <si>
    <t>Energibesparende
foranstaltinger i forskellige bygninger</t>
  </si>
  <si>
    <t xml:space="preserve">Ingen over 2 mio. kr. </t>
  </si>
  <si>
    <t>0.32.3</t>
  </si>
  <si>
    <t>(B.2123800)</t>
  </si>
  <si>
    <t>Kultur og Fritid og Københavns Ejendomme</t>
  </si>
  <si>
    <t>Bådighed og anlægsbevillinger</t>
  </si>
  <si>
    <t xml:space="preserve">      -  Gymnasium kap. afhj. (B.8063077)</t>
  </si>
  <si>
    <t>Rådighedsbevilling (B.2123800)</t>
  </si>
  <si>
    <t>Total</t>
  </si>
  <si>
    <t xml:space="preserve">     - Rådighedsbevilling (B.2123800)</t>
  </si>
  <si>
    <t xml:space="preserve">    -Idræts- og Kulturhuset i Holmbladsgade (B.8120401)</t>
  </si>
  <si>
    <t xml:space="preserve">      -(B.8061211)</t>
  </si>
  <si>
    <t xml:space="preserve">      -Genopretning Holmen - A06/00 (B.8120600)</t>
  </si>
  <si>
    <t xml:space="preserve">      -Arkitektkonkurrence: Helhedsplan Valby(B.8120504)</t>
  </si>
  <si>
    <t xml:space="preserve">     -Nyetablering af søbadenstalten (B.8120405)</t>
  </si>
  <si>
    <t xml:space="preserve">     -Nyt Bellahøjbad arkitektkonkur. (B.8120404)</t>
  </si>
  <si>
    <t xml:space="preserve">     -Idræts- og Kulturhuset på Indre Nørrebro (B.8120402)</t>
  </si>
  <si>
    <t xml:space="preserve">     -Vandkulturhus i Valby arkitekt</t>
  </si>
  <si>
    <t xml:space="preserve">  -(B.8061217)</t>
  </si>
  <si>
    <t xml:space="preserve">  -(B.8061218)</t>
  </si>
  <si>
    <t xml:space="preserve">  -(B.8061219)</t>
  </si>
  <si>
    <t xml:space="preserve">  -(B.8061220)</t>
  </si>
  <si>
    <t xml:space="preserve">bevillingsoverførsler til 2007. </t>
  </si>
  <si>
    <t xml:space="preserve">Den rigtige fordeling på enkeltprojekterne vil fremgå af sagen om </t>
  </si>
  <si>
    <t xml:space="preserve">på de forskellige bevillingsnumre, da de er givet af flere omgange    </t>
  </si>
  <si>
    <t>og med meget forskellige bevillingsnumre.</t>
  </si>
  <si>
    <t>Det giver ikke mening at sætte KØRbevilling over for forbrug</t>
  </si>
  <si>
    <t xml:space="preserve">På den måde regnskabet er opgjort, har det  </t>
  </si>
  <si>
    <t>ikke været muligt at skelne mellem bevillingsområderne.</t>
  </si>
  <si>
    <t xml:space="preserve">Københavns Ejendomme er ved at verificere og kvalitetssikre Bevilling og forbrug i alt. </t>
  </si>
  <si>
    <t xml:space="preserve">3. mandsleje </t>
  </si>
  <si>
    <t>Krudttønden</t>
  </si>
  <si>
    <t>Bispebjerg Kulturcenter</t>
  </si>
  <si>
    <t>Deponering påhviler ikke Københavns ejendomme, men den enkelte fagforvaltning</t>
  </si>
  <si>
    <t>Vandrehjemmet på Bellahøj</t>
  </si>
  <si>
    <t>- Obligatoriske oversigter Kultur- og fritidsudvalget</t>
  </si>
  <si>
    <t>Kejd's egne tal *</t>
  </si>
  <si>
    <t>* Bevilling året = Københavns Ejendommes egne oplysninger</t>
  </si>
  <si>
    <t>Svarer til regnskabet</t>
  </si>
  <si>
    <t xml:space="preserve">    - Pulje t/ekstraarbejder (B.8003001 BR 681/06)</t>
  </si>
  <si>
    <t xml:space="preserve">    - Pulje t/afhj. Foranst. (B.8003002 BR 681/06)</t>
  </si>
  <si>
    <t xml:space="preserve">      -Pulje planlæg skole og inst. (B.8003007 BR 681/06)</t>
  </si>
  <si>
    <t xml:space="preserve">    - Pulje t/planlægning (B.8003006 BR 681/06)</t>
  </si>
  <si>
    <t xml:space="preserve">      - Pulje t/ajhj. Foranst.(B.8003005 BR 681/06)</t>
  </si>
  <si>
    <t xml:space="preserve">  -  Charlottegården, skolen i (B.8063086 BR 681/06)</t>
  </si>
  <si>
    <t xml:space="preserve">      -  Pulje t/afhj. Foranst. (B.8003003 BR 681/06)</t>
  </si>
  <si>
    <t xml:space="preserve">     -  Pulje t/ afhj. Fornast. (B.8003004 BR 681/06)</t>
  </si>
  <si>
    <t>KØR/DW afstemning</t>
  </si>
  <si>
    <t xml:space="preserve">     - Rådighedsbevilling (B.2122100)</t>
  </si>
  <si>
    <t>Er ikke igangsat</t>
  </si>
  <si>
    <t>finansiere Idræts- og kultus i Holmbladsgade og Indre Nørrebro</t>
  </si>
  <si>
    <t>Er en del af den samlede anlægssag - selve anlægsprojektet er ikke besluttet</t>
  </si>
  <si>
    <t>Er en del af den samlede anlægssag - selve anlægsprojektet er besluttet (BR545/06)</t>
  </si>
  <si>
    <r>
      <t xml:space="preserve">     -K 03-175 Bavnehøj Idrætsanlæg &amp;????? </t>
    </r>
    <r>
      <rPr>
        <b/>
        <sz val="10"/>
        <rFont val="Times New Roman"/>
        <family val="1"/>
      </rPr>
      <t>Opgradering af Østerbro stadion</t>
    </r>
  </si>
  <si>
    <t>Finansieres af driften</t>
  </si>
  <si>
    <t>Etablering af offfentlig-privat partnerskab</t>
  </si>
  <si>
    <t>Erhvervs- og Byggestyrelsen</t>
  </si>
  <si>
    <t xml:space="preserve"> 4 mdr.-afsluttet</t>
  </si>
  <si>
    <t>6.51.1</t>
  </si>
  <si>
    <t>Arkitektkonkurrencen er færdig</t>
  </si>
  <si>
    <t>Undervisning</t>
  </si>
  <si>
    <t>integrationsministeriet</t>
  </si>
  <si>
    <t>drift</t>
  </si>
  <si>
    <t>Undervisningsministeriet</t>
  </si>
  <si>
    <t>EU-Grundtvig 1</t>
  </si>
  <si>
    <t>Eu-Interreg III</t>
  </si>
  <si>
    <t>3.70.1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</si>
</sst>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15">
    <font>
      <sz val="10"/>
      <name val="Arial"/>
      <family val="0"/>
    </font>
    <font>
      <sz val="10"/>
      <name val="Times New Roman"/>
      <family val="0"/>
    </font>
    <font>
      <sz val="14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8"/>
      <name val="Arial"/>
      <family val="0"/>
    </font>
    <font>
      <b/>
      <sz val="20"/>
      <name val="Times New Roman"/>
      <family val="1"/>
    </font>
    <font>
      <i/>
      <sz val="12"/>
      <name val="Times New Roman"/>
      <family val="1"/>
    </font>
    <font>
      <sz val="12"/>
      <name val="Times New Roman"/>
      <family val="0"/>
    </font>
    <font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2" borderId="1" xfId="20" applyFill="1" applyBorder="1" applyProtection="1">
      <alignment/>
      <protection/>
    </xf>
    <xf numFmtId="0" fontId="1" fillId="2" borderId="0" xfId="20" applyFill="1" applyBorder="1" applyAlignment="1" applyProtection="1">
      <alignment vertical="top"/>
      <protection/>
    </xf>
    <xf numFmtId="0" fontId="1" fillId="2" borderId="2" xfId="20" applyFill="1" applyBorder="1" applyAlignment="1" applyProtection="1">
      <alignment vertical="top"/>
      <protection/>
    </xf>
    <xf numFmtId="0" fontId="1" fillId="2" borderId="3" xfId="20" applyFill="1" applyBorder="1" applyAlignment="1" applyProtection="1">
      <alignment vertical="center"/>
      <protection/>
    </xf>
    <xf numFmtId="0" fontId="1" fillId="2" borderId="4" xfId="20" applyFill="1" applyBorder="1" applyAlignment="1" applyProtection="1">
      <alignment horizontal="center"/>
      <protection/>
    </xf>
    <xf numFmtId="0" fontId="1" fillId="2" borderId="5" xfId="20" applyFill="1" applyBorder="1" applyAlignment="1" applyProtection="1">
      <alignment horizontal="center"/>
      <protection/>
    </xf>
    <xf numFmtId="0" fontId="1" fillId="2" borderId="6" xfId="20" applyFill="1" applyBorder="1" applyAlignment="1" applyProtection="1">
      <alignment horizontal="center"/>
      <protection/>
    </xf>
    <xf numFmtId="0" fontId="1" fillId="0" borderId="7" xfId="20" applyFill="1" applyBorder="1" applyAlignment="1" applyProtection="1">
      <alignment vertical="center"/>
      <protection/>
    </xf>
    <xf numFmtId="0" fontId="1" fillId="2" borderId="8" xfId="20" applyFill="1" applyBorder="1" applyAlignment="1" applyProtection="1">
      <alignment horizontal="center"/>
      <protection/>
    </xf>
    <xf numFmtId="0" fontId="1" fillId="0" borderId="9" xfId="20" applyFill="1" applyBorder="1" applyAlignment="1" applyProtection="1">
      <alignment horizontal="center"/>
      <protection/>
    </xf>
    <xf numFmtId="0" fontId="1" fillId="0" borderId="10" xfId="20" applyFill="1" applyBorder="1" applyAlignment="1" applyProtection="1">
      <alignment horizontal="center"/>
      <protection/>
    </xf>
    <xf numFmtId="0" fontId="1" fillId="2" borderId="0" xfId="20" applyFill="1" applyBorder="1" applyAlignment="1" applyProtection="1">
      <alignment horizontal="center"/>
      <protection/>
    </xf>
    <xf numFmtId="0" fontId="1" fillId="2" borderId="11" xfId="20" applyFill="1" applyBorder="1" applyAlignment="1" applyProtection="1">
      <alignment horizontal="center"/>
      <protection/>
    </xf>
    <xf numFmtId="0" fontId="1" fillId="0" borderId="9" xfId="20" applyBorder="1" applyAlignment="1" applyProtection="1">
      <alignment horizontal="center"/>
      <protection/>
    </xf>
    <xf numFmtId="0" fontId="1" fillId="0" borderId="10" xfId="20" applyBorder="1" applyAlignment="1" applyProtection="1">
      <alignment horizontal="center"/>
      <protection/>
    </xf>
    <xf numFmtId="0" fontId="1" fillId="2" borderId="12" xfId="20" applyFill="1" applyBorder="1" applyAlignment="1" applyProtection="1">
      <alignment horizontal="center"/>
      <protection/>
    </xf>
    <xf numFmtId="0" fontId="1" fillId="0" borderId="13" xfId="20" applyFill="1" applyBorder="1" applyAlignment="1" applyProtection="1">
      <alignment vertical="center"/>
      <protection/>
    </xf>
    <xf numFmtId="0" fontId="1" fillId="2" borderId="14" xfId="20" applyFill="1" applyBorder="1" applyAlignment="1" applyProtection="1">
      <alignment horizontal="center"/>
      <protection/>
    </xf>
    <xf numFmtId="0" fontId="1" fillId="0" borderId="15" xfId="20" applyBorder="1" applyAlignment="1" applyProtection="1">
      <alignment horizontal="center"/>
      <protection/>
    </xf>
    <xf numFmtId="0" fontId="4" fillId="0" borderId="0" xfId="20" applyFont="1" applyProtection="1">
      <alignment/>
      <protection/>
    </xf>
    <xf numFmtId="0" fontId="1" fillId="0" borderId="0" xfId="20">
      <alignment/>
      <protection/>
    </xf>
    <xf numFmtId="0" fontId="1" fillId="3" borderId="0" xfId="21" applyFill="1">
      <alignment/>
      <protection/>
    </xf>
    <xf numFmtId="0" fontId="6" fillId="3" borderId="0" xfId="21" applyFont="1" applyFill="1">
      <alignment/>
      <protection/>
    </xf>
    <xf numFmtId="0" fontId="6" fillId="3" borderId="0" xfId="21" applyFont="1" applyFill="1" quotePrefix="1">
      <alignment/>
      <protection/>
    </xf>
    <xf numFmtId="0" fontId="7" fillId="3" borderId="0" xfId="21" applyFont="1" applyFill="1" applyAlignment="1">
      <alignment horizontal="left" indent="9"/>
      <protection/>
    </xf>
    <xf numFmtId="0" fontId="1" fillId="3" borderId="0" xfId="21" applyFill="1" applyAlignment="1">
      <alignment horizontal="left" indent="9"/>
      <protection/>
    </xf>
    <xf numFmtId="0" fontId="8" fillId="3" borderId="0" xfId="21" applyFont="1" applyFill="1" applyAlignment="1">
      <alignment horizontal="left" indent="9"/>
      <protection/>
    </xf>
    <xf numFmtId="0" fontId="1" fillId="2" borderId="16" xfId="22" applyFill="1" applyBorder="1">
      <alignment/>
      <protection/>
    </xf>
    <xf numFmtId="0" fontId="1" fillId="2" borderId="4" xfId="22" applyFill="1" applyBorder="1" applyAlignment="1">
      <alignment vertical="top"/>
      <protection/>
    </xf>
    <xf numFmtId="0" fontId="1" fillId="2" borderId="17" xfId="22" applyFill="1" applyBorder="1" applyAlignment="1">
      <alignment vertical="top"/>
      <protection/>
    </xf>
    <xf numFmtId="0" fontId="1" fillId="2" borderId="18" xfId="22" applyFill="1" applyBorder="1">
      <alignment/>
      <protection/>
    </xf>
    <xf numFmtId="0" fontId="1" fillId="2" borderId="19" xfId="22" applyFill="1" applyBorder="1" applyAlignment="1">
      <alignment vertical="top"/>
      <protection/>
    </xf>
    <xf numFmtId="0" fontId="1" fillId="2" borderId="11" xfId="22" applyFill="1" applyBorder="1" applyAlignment="1">
      <alignment vertical="top"/>
      <protection/>
    </xf>
    <xf numFmtId="0" fontId="1" fillId="2" borderId="9" xfId="22" applyFill="1" applyBorder="1" applyAlignment="1">
      <alignment horizontal="center" vertical="center" wrapText="1"/>
      <protection/>
    </xf>
    <xf numFmtId="0" fontId="1" fillId="2" borderId="9" xfId="22" applyFill="1" applyBorder="1" applyAlignment="1">
      <alignment horizontal="center" vertical="center"/>
      <protection/>
    </xf>
    <xf numFmtId="0" fontId="1" fillId="0" borderId="9" xfId="22" applyBorder="1">
      <alignment/>
      <protection/>
    </xf>
    <xf numFmtId="0" fontId="4" fillId="0" borderId="0" xfId="22" applyFont="1" applyProtection="1">
      <alignment/>
      <protection/>
    </xf>
    <xf numFmtId="0" fontId="1" fillId="0" borderId="0" xfId="22">
      <alignment/>
      <protection/>
    </xf>
    <xf numFmtId="0" fontId="1" fillId="2" borderId="9" xfId="25" applyFill="1" applyBorder="1" applyAlignment="1">
      <alignment horizontal="center" vertical="center" wrapText="1"/>
      <protection/>
    </xf>
    <xf numFmtId="0" fontId="1" fillId="0" borderId="5" xfId="25" applyBorder="1">
      <alignment/>
      <protection/>
    </xf>
    <xf numFmtId="3" fontId="1" fillId="0" borderId="5" xfId="25" applyNumberFormat="1" applyBorder="1">
      <alignment/>
      <protection/>
    </xf>
    <xf numFmtId="0" fontId="1" fillId="0" borderId="19" xfId="25" applyBorder="1">
      <alignment/>
      <protection/>
    </xf>
    <xf numFmtId="0" fontId="1" fillId="2" borderId="9" xfId="25" applyFill="1" applyBorder="1" applyAlignment="1">
      <alignment horizontal="center" vertical="center"/>
      <protection/>
    </xf>
    <xf numFmtId="0" fontId="1" fillId="2" borderId="20" xfId="23" applyFill="1" applyBorder="1">
      <alignment/>
      <protection/>
    </xf>
    <xf numFmtId="0" fontId="1" fillId="2" borderId="0" xfId="23" applyFill="1" applyBorder="1" applyAlignment="1">
      <alignment vertical="top"/>
      <protection/>
    </xf>
    <xf numFmtId="0" fontId="1" fillId="2" borderId="0" xfId="23" applyFill="1" applyBorder="1">
      <alignment/>
      <protection/>
    </xf>
    <xf numFmtId="0" fontId="1" fillId="2" borderId="8" xfId="23" applyFill="1" applyBorder="1">
      <alignment/>
      <protection/>
    </xf>
    <xf numFmtId="0" fontId="1" fillId="2" borderId="9" xfId="23" applyFill="1" applyBorder="1" applyAlignment="1">
      <alignment horizontal="center" vertical="center"/>
      <protection/>
    </xf>
    <xf numFmtId="0" fontId="1" fillId="2" borderId="9" xfId="23" applyFill="1" applyBorder="1" applyAlignment="1">
      <alignment horizontal="center" vertical="center" wrapText="1"/>
      <protection/>
    </xf>
    <xf numFmtId="0" fontId="1" fillId="0" borderId="9" xfId="23" applyBorder="1">
      <alignment/>
      <protection/>
    </xf>
    <xf numFmtId="0" fontId="4" fillId="0" borderId="0" xfId="23" applyFont="1" applyProtection="1">
      <alignment/>
      <protection/>
    </xf>
    <xf numFmtId="0" fontId="1" fillId="0" borderId="0" xfId="23">
      <alignment/>
      <protection/>
    </xf>
    <xf numFmtId="0" fontId="1" fillId="2" borderId="20" xfId="24" applyFill="1" applyBorder="1">
      <alignment/>
      <protection/>
    </xf>
    <xf numFmtId="0" fontId="1" fillId="2" borderId="0" xfId="24" applyFill="1" applyBorder="1" applyAlignment="1">
      <alignment vertical="top"/>
      <protection/>
    </xf>
    <xf numFmtId="0" fontId="1" fillId="2" borderId="8" xfId="24" applyFill="1" applyBorder="1">
      <alignment/>
      <protection/>
    </xf>
    <xf numFmtId="0" fontId="1" fillId="2" borderId="9" xfId="24" applyFill="1" applyBorder="1" applyAlignment="1">
      <alignment horizontal="center" vertical="center"/>
      <protection/>
    </xf>
    <xf numFmtId="0" fontId="1" fillId="2" borderId="9" xfId="24" applyFill="1" applyBorder="1" applyAlignment="1">
      <alignment horizontal="center" vertical="center" wrapText="1"/>
      <protection/>
    </xf>
    <xf numFmtId="0" fontId="1" fillId="0" borderId="9" xfId="24" applyBorder="1">
      <alignment/>
      <protection/>
    </xf>
    <xf numFmtId="0" fontId="4" fillId="0" borderId="0" xfId="24" applyFont="1" applyProtection="1">
      <alignment/>
      <protection/>
    </xf>
    <xf numFmtId="0" fontId="1" fillId="0" borderId="0" xfId="24">
      <alignment/>
      <protection/>
    </xf>
    <xf numFmtId="0" fontId="0" fillId="0" borderId="9" xfId="0" applyBorder="1" applyAlignment="1">
      <alignment/>
    </xf>
    <xf numFmtId="0" fontId="4" fillId="0" borderId="0" xfId="0" applyFont="1" applyAlignment="1" applyProtection="1">
      <alignment/>
      <protection/>
    </xf>
    <xf numFmtId="0" fontId="1" fillId="2" borderId="20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1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2" xfId="0" applyFont="1" applyFill="1" applyBorder="1" applyAlignment="1" quotePrefix="1">
      <alignment horizontal="left" indent="1"/>
    </xf>
    <xf numFmtId="0" fontId="1" fillId="0" borderId="22" xfId="0" applyFont="1" applyBorder="1" applyAlignment="1" quotePrefix="1">
      <alignment horizontal="left" indent="1"/>
    </xf>
    <xf numFmtId="0" fontId="1" fillId="2" borderId="4" xfId="0" applyFont="1" applyFill="1" applyBorder="1" applyAlignment="1">
      <alignment vertical="top"/>
    </xf>
    <xf numFmtId="0" fontId="1" fillId="2" borderId="17" xfId="0" applyFont="1" applyFill="1" applyBorder="1" applyAlignment="1">
      <alignment vertical="top"/>
    </xf>
    <xf numFmtId="0" fontId="1" fillId="2" borderId="19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0" borderId="9" xfId="0" applyFont="1" applyBorder="1" applyAlignment="1">
      <alignment/>
    </xf>
    <xf numFmtId="0" fontId="1" fillId="3" borderId="0" xfId="25" applyFill="1">
      <alignment/>
      <protection/>
    </xf>
    <xf numFmtId="0" fontId="1" fillId="3" borderId="0" xfId="25" applyFill="1" applyBorder="1">
      <alignment/>
      <protection/>
    </xf>
    <xf numFmtId="0" fontId="1" fillId="0" borderId="23" xfId="25" applyBorder="1">
      <alignment/>
      <protection/>
    </xf>
    <xf numFmtId="0" fontId="1" fillId="0" borderId="24" xfId="25" applyBorder="1">
      <alignment/>
      <protection/>
    </xf>
    <xf numFmtId="0" fontId="1" fillId="0" borderId="18" xfId="25" applyBorder="1">
      <alignment/>
      <protection/>
    </xf>
    <xf numFmtId="0" fontId="1" fillId="0" borderId="11" xfId="25" applyBorder="1">
      <alignment/>
      <protection/>
    </xf>
    <xf numFmtId="0" fontId="4" fillId="3" borderId="23" xfId="25" applyFont="1" applyFill="1" applyBorder="1" applyProtection="1">
      <alignment/>
      <protection/>
    </xf>
    <xf numFmtId="0" fontId="1" fillId="3" borderId="5" xfId="25" applyFill="1" applyBorder="1">
      <alignment/>
      <protection/>
    </xf>
    <xf numFmtId="0" fontId="1" fillId="3" borderId="24" xfId="25" applyFill="1" applyBorder="1">
      <alignment/>
      <protection/>
    </xf>
    <xf numFmtId="0" fontId="4" fillId="0" borderId="23" xfId="25" applyFont="1" applyBorder="1" applyProtection="1">
      <alignment/>
      <protection/>
    </xf>
    <xf numFmtId="3" fontId="1" fillId="0" borderId="9" xfId="0" applyNumberFormat="1" applyFont="1" applyBorder="1" applyAlignment="1">
      <alignment/>
    </xf>
    <xf numFmtId="3" fontId="1" fillId="0" borderId="9" xfId="24" applyNumberFormat="1" applyBorder="1">
      <alignment/>
      <protection/>
    </xf>
    <xf numFmtId="3" fontId="1" fillId="0" borderId="9" xfId="23" applyNumberFormat="1" applyBorder="1">
      <alignment/>
      <protection/>
    </xf>
    <xf numFmtId="3" fontId="1" fillId="0" borderId="19" xfId="25" applyNumberFormat="1" applyBorder="1">
      <alignment/>
      <protection/>
    </xf>
    <xf numFmtId="3" fontId="1" fillId="0" borderId="9" xfId="22" applyNumberFormat="1" applyBorder="1">
      <alignment/>
      <protection/>
    </xf>
    <xf numFmtId="3" fontId="1" fillId="0" borderId="9" xfId="20" applyNumberFormat="1" applyFill="1" applyBorder="1" applyAlignment="1" applyProtection="1">
      <alignment horizontal="center"/>
      <protection/>
    </xf>
    <xf numFmtId="3" fontId="1" fillId="0" borderId="9" xfId="20" applyNumberFormat="1" applyBorder="1" applyAlignment="1" applyProtection="1">
      <alignment horizontal="center"/>
      <protection/>
    </xf>
    <xf numFmtId="3" fontId="1" fillId="0" borderId="25" xfId="20" applyNumberFormat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left" indent="1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8" xfId="0" applyFont="1" applyFill="1" applyBorder="1" applyAlignment="1">
      <alignment horizontal="left" inden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3" fontId="1" fillId="0" borderId="27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25" applyFont="1" applyBorder="1" applyAlignment="1">
      <alignment wrapText="1"/>
      <protection/>
    </xf>
    <xf numFmtId="0" fontId="1" fillId="0" borderId="5" xfId="25" applyFont="1" applyBorder="1" applyAlignment="1">
      <alignment wrapText="1"/>
      <protection/>
    </xf>
    <xf numFmtId="3" fontId="1" fillId="0" borderId="5" xfId="25" applyNumberFormat="1" applyBorder="1" applyAlignment="1">
      <alignment wrapText="1"/>
      <protection/>
    </xf>
    <xf numFmtId="9" fontId="1" fillId="0" borderId="5" xfId="25" applyNumberFormat="1" applyBorder="1" applyAlignment="1">
      <alignment wrapText="1"/>
      <protection/>
    </xf>
    <xf numFmtId="3" fontId="1" fillId="0" borderId="5" xfId="25" applyNumberFormat="1" applyFont="1" applyBorder="1" applyAlignment="1">
      <alignment wrapText="1"/>
      <protection/>
    </xf>
    <xf numFmtId="0" fontId="1" fillId="0" borderId="24" xfId="25" applyFont="1" applyBorder="1" applyAlignment="1">
      <alignment wrapText="1"/>
      <protection/>
    </xf>
    <xf numFmtId="0" fontId="1" fillId="0" borderId="18" xfId="25" applyFont="1" applyBorder="1" applyAlignment="1">
      <alignment wrapText="1"/>
      <protection/>
    </xf>
    <xf numFmtId="0" fontId="1" fillId="0" borderId="19" xfId="25" applyFont="1" applyBorder="1" applyAlignment="1">
      <alignment wrapText="1"/>
      <protection/>
    </xf>
    <xf numFmtId="3" fontId="1" fillId="0" borderId="19" xfId="25" applyNumberFormat="1" applyBorder="1" applyAlignment="1">
      <alignment wrapText="1"/>
      <protection/>
    </xf>
    <xf numFmtId="10" fontId="1" fillId="0" borderId="19" xfId="25" applyNumberFormat="1" applyBorder="1" applyAlignment="1">
      <alignment wrapText="1"/>
      <protection/>
    </xf>
    <xf numFmtId="0" fontId="1" fillId="0" borderId="11" xfId="25" applyFont="1" applyBorder="1" applyAlignment="1">
      <alignment wrapText="1"/>
      <protection/>
    </xf>
    <xf numFmtId="0" fontId="1" fillId="0" borderId="18" xfId="25" applyBorder="1" applyAlignment="1">
      <alignment wrapText="1"/>
      <protection/>
    </xf>
    <xf numFmtId="0" fontId="1" fillId="0" borderId="19" xfId="25" applyBorder="1" applyAlignment="1">
      <alignment wrapText="1"/>
      <protection/>
    </xf>
    <xf numFmtId="0" fontId="1" fillId="0" borderId="11" xfId="25" applyBorder="1" applyAlignment="1">
      <alignment wrapText="1"/>
      <protection/>
    </xf>
    <xf numFmtId="0" fontId="1" fillId="0" borderId="23" xfId="25" applyBorder="1" applyAlignment="1">
      <alignment wrapText="1"/>
      <protection/>
    </xf>
    <xf numFmtId="0" fontId="1" fillId="0" borderId="5" xfId="25" applyBorder="1" applyAlignment="1">
      <alignment wrapText="1"/>
      <protection/>
    </xf>
    <xf numFmtId="0" fontId="1" fillId="0" borderId="24" xfId="25" applyBorder="1" applyAlignment="1">
      <alignment wrapText="1"/>
      <protection/>
    </xf>
    <xf numFmtId="0" fontId="1" fillId="0" borderId="18" xfId="25" applyFont="1" applyBorder="1">
      <alignment/>
      <protection/>
    </xf>
    <xf numFmtId="0" fontId="1" fillId="0" borderId="7" xfId="20" applyFont="1" applyFill="1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horizontal="center"/>
      <protection/>
    </xf>
    <xf numFmtId="0" fontId="1" fillId="0" borderId="10" xfId="20" applyFont="1" applyFill="1" applyBorder="1" applyAlignment="1" applyProtection="1">
      <alignment horizontal="center" wrapText="1"/>
      <protection/>
    </xf>
    <xf numFmtId="0" fontId="1" fillId="0" borderId="9" xfId="22" applyFont="1" applyBorder="1">
      <alignment/>
      <protection/>
    </xf>
    <xf numFmtId="0" fontId="1" fillId="0" borderId="9" xfId="22" applyFont="1" applyBorder="1" applyAlignment="1">
      <alignment wrapText="1"/>
      <protection/>
    </xf>
    <xf numFmtId="0" fontId="1" fillId="0" borderId="9" xfId="23" applyFont="1" applyBorder="1">
      <alignment/>
      <protection/>
    </xf>
    <xf numFmtId="0" fontId="1" fillId="0" borderId="9" xfId="24" applyFont="1" applyBorder="1">
      <alignment/>
      <protection/>
    </xf>
    <xf numFmtId="0" fontId="1" fillId="0" borderId="9" xfId="24" applyFont="1" applyBorder="1" applyAlignment="1">
      <alignment wrapText="1"/>
      <protection/>
    </xf>
    <xf numFmtId="0" fontId="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3" fontId="0" fillId="0" borderId="8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0" fontId="14" fillId="0" borderId="12" xfId="0" applyFont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0" fontId="10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9" xfId="20" applyNumberFormat="1" applyFont="1" applyBorder="1" applyAlignment="1" applyProtection="1">
      <alignment horizontal="center"/>
      <protection/>
    </xf>
    <xf numFmtId="0" fontId="1" fillId="0" borderId="10" xfId="20" applyFont="1" applyBorder="1" applyAlignment="1" applyProtection="1">
      <alignment horizontal="center"/>
      <protection/>
    </xf>
    <xf numFmtId="0" fontId="1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vertical="top" wrapText="1"/>
    </xf>
    <xf numFmtId="3" fontId="1" fillId="4" borderId="27" xfId="0" applyNumberFormat="1" applyFont="1" applyFill="1" applyBorder="1" applyAlignment="1">
      <alignment horizontal="right" vertical="top" wrapText="1"/>
    </xf>
    <xf numFmtId="0" fontId="1" fillId="4" borderId="27" xfId="0" applyFont="1" applyFill="1" applyBorder="1" applyAlignment="1">
      <alignment horizontal="center" vertical="top" wrapText="1"/>
    </xf>
    <xf numFmtId="0" fontId="2" fillId="2" borderId="28" xfId="20" applyFont="1" applyFill="1" applyBorder="1" applyAlignment="1" applyProtection="1">
      <alignment horizontal="center" vertical="center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3" fillId="0" borderId="7" xfId="20" applyFont="1" applyBorder="1" applyAlignment="1" applyProtection="1">
      <alignment/>
      <protection/>
    </xf>
    <xf numFmtId="0" fontId="1" fillId="0" borderId="9" xfId="20" applyBorder="1" applyAlignment="1" applyProtection="1">
      <alignment/>
      <protection/>
    </xf>
    <xf numFmtId="0" fontId="1" fillId="0" borderId="10" xfId="20" applyBorder="1" applyAlignment="1" applyProtection="1">
      <alignment/>
      <protection/>
    </xf>
    <xf numFmtId="0" fontId="2" fillId="2" borderId="23" xfId="22" applyFont="1" applyFill="1" applyBorder="1" applyAlignment="1">
      <alignment horizontal="center" vertical="center"/>
      <protection/>
    </xf>
    <xf numFmtId="0" fontId="2" fillId="2" borderId="5" xfId="22" applyFont="1" applyFill="1" applyBorder="1" applyAlignment="1">
      <alignment horizontal="center" vertical="center"/>
      <protection/>
    </xf>
    <xf numFmtId="0" fontId="2" fillId="2" borderId="24" xfId="22" applyFont="1" applyFill="1" applyBorder="1" applyAlignment="1">
      <alignment horizontal="center" vertical="center"/>
      <protection/>
    </xf>
    <xf numFmtId="0" fontId="3" fillId="0" borderId="23" xfId="22" applyFont="1" applyBorder="1" applyAlignment="1">
      <alignment/>
      <protection/>
    </xf>
    <xf numFmtId="0" fontId="1" fillId="0" borderId="5" xfId="22" applyBorder="1" applyAlignment="1">
      <alignment/>
      <protection/>
    </xf>
    <xf numFmtId="0" fontId="1" fillId="0" borderId="24" xfId="22" applyBorder="1" applyAlignment="1">
      <alignment/>
      <protection/>
    </xf>
    <xf numFmtId="0" fontId="9" fillId="2" borderId="23" xfId="25" applyFont="1" applyFill="1" applyBorder="1" applyAlignment="1">
      <alignment horizontal="center" vertical="center"/>
      <protection/>
    </xf>
    <xf numFmtId="0" fontId="9" fillId="2" borderId="5" xfId="25" applyFont="1" applyFill="1" applyBorder="1" applyAlignment="1">
      <alignment horizontal="center" vertical="center"/>
      <protection/>
    </xf>
    <xf numFmtId="0" fontId="9" fillId="2" borderId="24" xfId="25" applyFont="1" applyFill="1" applyBorder="1" applyAlignment="1">
      <alignment horizontal="center" vertical="center"/>
      <protection/>
    </xf>
    <xf numFmtId="0" fontId="2" fillId="2" borderId="16" xfId="23" applyFont="1" applyFill="1" applyBorder="1" applyAlignment="1">
      <alignment horizontal="center" vertical="center"/>
      <protection/>
    </xf>
    <xf numFmtId="0" fontId="2" fillId="2" borderId="4" xfId="23" applyFont="1" applyFill="1" applyBorder="1" applyAlignment="1">
      <alignment horizontal="center" vertical="center"/>
      <protection/>
    </xf>
    <xf numFmtId="0" fontId="1" fillId="0" borderId="4" xfId="23" applyBorder="1" applyAlignment="1">
      <alignment/>
      <protection/>
    </xf>
    <xf numFmtId="0" fontId="1" fillId="0" borderId="17" xfId="23" applyBorder="1" applyAlignment="1">
      <alignment/>
      <protection/>
    </xf>
    <xf numFmtId="0" fontId="3" fillId="0" borderId="23" xfId="23" applyFont="1" applyBorder="1" applyAlignment="1">
      <alignment/>
      <protection/>
    </xf>
    <xf numFmtId="0" fontId="1" fillId="0" borderId="5" xfId="23" applyBorder="1" applyAlignment="1">
      <alignment/>
      <protection/>
    </xf>
    <xf numFmtId="0" fontId="1" fillId="0" borderId="24" xfId="23" applyBorder="1" applyAlignment="1">
      <alignment/>
      <protection/>
    </xf>
    <xf numFmtId="0" fontId="2" fillId="2" borderId="16" xfId="24" applyFont="1" applyFill="1" applyBorder="1" applyAlignment="1">
      <alignment horizontal="center" vertical="center"/>
      <protection/>
    </xf>
    <xf numFmtId="0" fontId="2" fillId="2" borderId="4" xfId="24" applyFont="1" applyFill="1" applyBorder="1" applyAlignment="1">
      <alignment horizontal="center" vertical="center"/>
      <protection/>
    </xf>
    <xf numFmtId="0" fontId="1" fillId="0" borderId="17" xfId="24" applyBorder="1" applyAlignment="1">
      <alignment/>
      <protection/>
    </xf>
    <xf numFmtId="0" fontId="3" fillId="0" borderId="23" xfId="24" applyFont="1" applyBorder="1" applyAlignment="1">
      <alignment/>
      <protection/>
    </xf>
    <xf numFmtId="0" fontId="1" fillId="0" borderId="5" xfId="24" applyBorder="1" applyAlignment="1">
      <alignment/>
      <protection/>
    </xf>
    <xf numFmtId="0" fontId="1" fillId="0" borderId="24" xfId="24" applyBorder="1" applyAlignment="1">
      <alignment/>
      <protection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3" fillId="0" borderId="23" xfId="0" applyFont="1" applyBorder="1" applyAlignment="1">
      <alignment/>
    </xf>
    <xf numFmtId="0" fontId="0" fillId="0" borderId="5" xfId="0" applyBorder="1" applyAlignment="1">
      <alignment/>
    </xf>
    <xf numFmtId="0" fontId="0" fillId="0" borderId="24" xfId="0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4" xfId="0" applyFont="1" applyBorder="1" applyAlignment="1">
      <alignment/>
    </xf>
    <xf numFmtId="0" fontId="2" fillId="2" borderId="2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Ark1" xfId="20"/>
    <cellStyle name="Normal_Ark2" xfId="21"/>
    <cellStyle name="Normal_Ark3" xfId="22"/>
    <cellStyle name="Normal_Ark5" xfId="23"/>
    <cellStyle name="Normal_Ark6" xfId="24"/>
    <cellStyle name="Normal_Selskabsdeltagelse" xfId="25"/>
    <cellStyle name="Percent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workbookViewId="0" topLeftCell="A1">
      <selection activeCell="A2" sqref="A2"/>
    </sheetView>
  </sheetViews>
  <sheetFormatPr defaultColWidth="9.140625" defaultRowHeight="12.75"/>
  <cols>
    <col min="1" max="1" width="139.8515625" style="0" customWidth="1"/>
  </cols>
  <sheetData>
    <row r="1" ht="12.75">
      <c r="A1" s="22"/>
    </row>
    <row r="2" ht="12.75">
      <c r="A2" s="22"/>
    </row>
    <row r="3" ht="12.75">
      <c r="A3" s="22"/>
    </row>
    <row r="4" ht="25.5">
      <c r="A4" s="23" t="s">
        <v>51</v>
      </c>
    </row>
    <row r="5" ht="25.5">
      <c r="A5" s="24" t="s">
        <v>315</v>
      </c>
    </row>
    <row r="6" ht="25.5">
      <c r="A6" s="24"/>
    </row>
    <row r="7" ht="25.5">
      <c r="A7" s="24"/>
    </row>
    <row r="8" ht="12.75">
      <c r="A8" s="22"/>
    </row>
    <row r="9" ht="15.75">
      <c r="A9" s="25" t="s">
        <v>56</v>
      </c>
    </row>
    <row r="10" ht="12.75">
      <c r="A10" s="26"/>
    </row>
    <row r="11" ht="15.75">
      <c r="A11" s="27" t="s">
        <v>0</v>
      </c>
    </row>
    <row r="12" ht="15.75">
      <c r="A12" s="27" t="s">
        <v>52</v>
      </c>
    </row>
    <row r="13" ht="15.75">
      <c r="A13" s="27" t="s">
        <v>36</v>
      </c>
    </row>
    <row r="14" ht="15.75">
      <c r="A14" s="27" t="s">
        <v>53</v>
      </c>
    </row>
    <row r="15" ht="15.75">
      <c r="A15" s="27" t="s">
        <v>28</v>
      </c>
    </row>
    <row r="16" ht="15.75">
      <c r="A16" s="27" t="s">
        <v>34</v>
      </c>
    </row>
    <row r="17" ht="15.75">
      <c r="A17" s="27" t="s">
        <v>35</v>
      </c>
    </row>
    <row r="18" ht="15.75">
      <c r="A18" s="27" t="s">
        <v>19</v>
      </c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7">
      <selection activeCell="A15" sqref="A15"/>
    </sheetView>
  </sheetViews>
  <sheetFormatPr defaultColWidth="9.140625" defaultRowHeight="12.75"/>
  <cols>
    <col min="1" max="1" width="38.57421875" style="0" customWidth="1"/>
    <col min="2" max="2" width="29.57421875" style="0" customWidth="1"/>
    <col min="3" max="3" width="27.57421875" style="0" customWidth="1"/>
    <col min="4" max="4" width="25.8515625" style="0" customWidth="1"/>
  </cols>
  <sheetData>
    <row r="1" spans="1:4" ht="18.75">
      <c r="A1" s="173" t="s">
        <v>0</v>
      </c>
      <c r="B1" s="174"/>
      <c r="C1" s="174"/>
      <c r="D1" s="175"/>
    </row>
    <row r="2" spans="1:4" ht="12.75">
      <c r="A2" s="176" t="s">
        <v>78</v>
      </c>
      <c r="B2" s="177"/>
      <c r="C2" s="177"/>
      <c r="D2" s="178"/>
    </row>
    <row r="3" spans="1:4" ht="12.75">
      <c r="A3" s="1" t="s">
        <v>1</v>
      </c>
      <c r="B3" s="2"/>
      <c r="C3" s="2"/>
      <c r="D3" s="3"/>
    </row>
    <row r="4" spans="1:4" ht="12.75">
      <c r="A4" s="1"/>
      <c r="B4" s="2"/>
      <c r="C4" s="2"/>
      <c r="D4" s="3"/>
    </row>
    <row r="5" spans="1:4" ht="12.75">
      <c r="A5" s="4" t="s">
        <v>2</v>
      </c>
      <c r="B5" s="5"/>
      <c r="C5" s="6" t="s">
        <v>9</v>
      </c>
      <c r="D5" s="7" t="s">
        <v>10</v>
      </c>
    </row>
    <row r="6" spans="1:4" ht="12.75">
      <c r="A6" s="140" t="s">
        <v>278</v>
      </c>
      <c r="B6" s="9"/>
      <c r="C6" s="109"/>
      <c r="D6" s="11"/>
    </row>
    <row r="7" spans="1:4" ht="12.75">
      <c r="A7" s="8"/>
      <c r="B7" s="12"/>
      <c r="C7" s="109"/>
      <c r="D7" s="11"/>
    </row>
    <row r="8" spans="1:4" ht="12.75">
      <c r="A8" s="8"/>
      <c r="B8" s="13"/>
      <c r="C8" s="110"/>
      <c r="D8" s="15"/>
    </row>
    <row r="9" spans="1:4" ht="12.75">
      <c r="A9" s="4" t="s">
        <v>3</v>
      </c>
      <c r="B9" s="6" t="s">
        <v>11</v>
      </c>
      <c r="C9" s="6" t="s">
        <v>9</v>
      </c>
      <c r="D9" s="7" t="s">
        <v>10</v>
      </c>
    </row>
    <row r="10" spans="1:4" ht="12.75">
      <c r="A10" s="140" t="s">
        <v>278</v>
      </c>
      <c r="B10" s="109"/>
      <c r="C10" s="109"/>
      <c r="D10" s="11"/>
    </row>
    <row r="11" spans="1:4" ht="12.75">
      <c r="A11" s="8"/>
      <c r="B11" s="109"/>
      <c r="C11" s="109"/>
      <c r="D11" s="11"/>
    </row>
    <row r="12" spans="1:4" ht="12.75">
      <c r="A12" s="8"/>
      <c r="B12" s="110"/>
      <c r="C12" s="110"/>
      <c r="D12" s="15"/>
    </row>
    <row r="13" spans="1:4" ht="12.75">
      <c r="A13" s="4" t="s">
        <v>4</v>
      </c>
      <c r="B13" s="6" t="s">
        <v>11</v>
      </c>
      <c r="C13" s="6" t="s">
        <v>9</v>
      </c>
      <c r="D13" s="7" t="s">
        <v>10</v>
      </c>
    </row>
    <row r="14" spans="1:4" ht="12.75">
      <c r="A14" s="140" t="s">
        <v>314</v>
      </c>
      <c r="B14" s="109">
        <v>100000</v>
      </c>
      <c r="C14" s="109">
        <v>100000</v>
      </c>
      <c r="D14" s="11"/>
    </row>
    <row r="15" spans="1:4" ht="12.75">
      <c r="A15" s="8"/>
      <c r="B15" s="109"/>
      <c r="C15" s="109"/>
      <c r="D15" s="11"/>
    </row>
    <row r="16" spans="1:4" ht="12.75">
      <c r="A16" s="8"/>
      <c r="B16" s="110"/>
      <c r="C16" s="110"/>
      <c r="D16" s="15"/>
    </row>
    <row r="17" spans="1:4" ht="12.75">
      <c r="A17" s="4" t="s">
        <v>5</v>
      </c>
      <c r="B17" s="6" t="s">
        <v>12</v>
      </c>
      <c r="C17" s="6"/>
      <c r="D17" s="7" t="s">
        <v>10</v>
      </c>
    </row>
    <row r="18" spans="1:4" ht="12.75">
      <c r="A18" s="140" t="s">
        <v>278</v>
      </c>
      <c r="B18" s="10"/>
      <c r="C18" s="10"/>
      <c r="D18" s="11"/>
    </row>
    <row r="19" spans="1:4" ht="12.75">
      <c r="A19" s="8"/>
      <c r="B19" s="10"/>
      <c r="C19" s="10"/>
      <c r="D19" s="11"/>
    </row>
    <row r="20" spans="1:4" ht="12.75">
      <c r="A20" s="8"/>
      <c r="B20" s="14"/>
      <c r="C20" s="14"/>
      <c r="D20" s="15"/>
    </row>
    <row r="21" spans="1:4" ht="12.75">
      <c r="A21" s="4" t="s">
        <v>6</v>
      </c>
      <c r="B21" s="6"/>
      <c r="C21" s="6" t="s">
        <v>13</v>
      </c>
      <c r="D21" s="7" t="s">
        <v>10</v>
      </c>
    </row>
    <row r="22" spans="1:4" ht="12.75">
      <c r="A22" s="140" t="s">
        <v>278</v>
      </c>
      <c r="B22" s="10"/>
      <c r="C22" s="109"/>
      <c r="D22" s="11"/>
    </row>
    <row r="23" spans="1:4" ht="12.75">
      <c r="A23" s="8"/>
      <c r="B23" s="10"/>
      <c r="C23" s="109"/>
      <c r="D23" s="11"/>
    </row>
    <row r="24" spans="1:4" ht="12.75">
      <c r="A24" s="8"/>
      <c r="B24" s="14"/>
      <c r="C24" s="110"/>
      <c r="D24" s="15"/>
    </row>
    <row r="25" spans="1:4" ht="12.75">
      <c r="A25" s="4" t="s">
        <v>7</v>
      </c>
      <c r="B25" s="6" t="s">
        <v>14</v>
      </c>
      <c r="C25" s="6" t="s">
        <v>15</v>
      </c>
      <c r="D25" s="7" t="s">
        <v>10</v>
      </c>
    </row>
    <row r="26" spans="1:4" ht="38.25">
      <c r="A26" s="140" t="s">
        <v>275</v>
      </c>
      <c r="B26" s="10">
        <v>457</v>
      </c>
      <c r="C26" s="109">
        <v>153353828</v>
      </c>
      <c r="D26" s="142" t="s">
        <v>276</v>
      </c>
    </row>
    <row r="27" spans="1:4" ht="12.75">
      <c r="A27" s="140" t="s">
        <v>310</v>
      </c>
      <c r="B27" s="10">
        <v>1</v>
      </c>
      <c r="C27" s="109">
        <v>663444</v>
      </c>
      <c r="D27" s="141" t="s">
        <v>311</v>
      </c>
    </row>
    <row r="28" spans="1:4" ht="12.75">
      <c r="A28" s="140" t="s">
        <v>275</v>
      </c>
      <c r="B28" s="14">
        <v>1</v>
      </c>
      <c r="C28" s="167">
        <v>281050</v>
      </c>
      <c r="D28" s="168" t="s">
        <v>312</v>
      </c>
    </row>
    <row r="29" spans="1:4" ht="12.75">
      <c r="A29" s="4" t="s">
        <v>8</v>
      </c>
      <c r="B29" s="5"/>
      <c r="C29" s="6" t="s">
        <v>16</v>
      </c>
      <c r="D29" s="7" t="s">
        <v>10</v>
      </c>
    </row>
    <row r="30" spans="1:4" ht="12.75">
      <c r="A30" s="8"/>
      <c r="B30" s="16"/>
      <c r="C30" s="109"/>
      <c r="D30" s="11"/>
    </row>
    <row r="31" spans="1:4" ht="12.75">
      <c r="A31" s="8"/>
      <c r="B31" s="16"/>
      <c r="C31" s="109"/>
      <c r="D31" s="11"/>
    </row>
    <row r="32" spans="1:4" ht="13.5" thickBot="1">
      <c r="A32" s="17"/>
      <c r="B32" s="18"/>
      <c r="C32" s="111"/>
      <c r="D32" s="19"/>
    </row>
    <row r="33" spans="1:4" ht="12.75">
      <c r="A33" s="20" t="s">
        <v>54</v>
      </c>
      <c r="B33" s="21"/>
      <c r="C33" s="21"/>
      <c r="D33" s="21"/>
    </row>
  </sheetData>
  <sheetProtection/>
  <mergeCells count="2">
    <mergeCell ref="A1:D1"/>
    <mergeCell ref="A2:D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8" sqref="A8"/>
    </sheetView>
  </sheetViews>
  <sheetFormatPr defaultColWidth="9.140625" defaultRowHeight="12.75"/>
  <cols>
    <col min="1" max="1" width="18.7109375" style="0" customWidth="1"/>
    <col min="2" max="2" width="16.140625" style="0" customWidth="1"/>
    <col min="3" max="3" width="16.7109375" style="0" customWidth="1"/>
    <col min="4" max="4" width="17.57421875" style="0" customWidth="1"/>
  </cols>
  <sheetData>
    <row r="1" spans="1:4" ht="18.75">
      <c r="A1" s="179" t="s">
        <v>17</v>
      </c>
      <c r="B1" s="180"/>
      <c r="C1" s="180"/>
      <c r="D1" s="181"/>
    </row>
    <row r="2" spans="1:4" ht="12.75">
      <c r="A2" s="182" t="s">
        <v>235</v>
      </c>
      <c r="B2" s="183"/>
      <c r="C2" s="183"/>
      <c r="D2" s="184"/>
    </row>
    <row r="3" spans="1:4" ht="12.75">
      <c r="A3" s="28" t="s">
        <v>18</v>
      </c>
      <c r="B3" s="29"/>
      <c r="C3" s="29"/>
      <c r="D3" s="30"/>
    </row>
    <row r="4" spans="1:4" ht="12.75">
      <c r="A4" s="31"/>
      <c r="B4" s="32"/>
      <c r="C4" s="32"/>
      <c r="D4" s="33"/>
    </row>
    <row r="5" spans="1:4" ht="38.25">
      <c r="A5" s="34" t="s">
        <v>59</v>
      </c>
      <c r="B5" s="34" t="s">
        <v>60</v>
      </c>
      <c r="C5" s="35" t="s">
        <v>57</v>
      </c>
      <c r="D5" s="34" t="s">
        <v>58</v>
      </c>
    </row>
    <row r="6" spans="1:4" ht="12.75">
      <c r="A6" s="143" t="s">
        <v>277</v>
      </c>
      <c r="B6" s="36"/>
      <c r="C6" s="108"/>
      <c r="D6" s="36"/>
    </row>
    <row r="7" spans="1:4" ht="51">
      <c r="A7" s="144" t="s">
        <v>313</v>
      </c>
      <c r="B7" s="36"/>
      <c r="C7" s="108"/>
      <c r="D7" s="36"/>
    </row>
    <row r="8" spans="1:4" ht="12.75">
      <c r="A8" s="36"/>
      <c r="B8" s="36"/>
      <c r="C8" s="108"/>
      <c r="D8" s="36"/>
    </row>
    <row r="9" spans="1:4" ht="12.75">
      <c r="A9" s="36"/>
      <c r="B9" s="36"/>
      <c r="C9" s="108"/>
      <c r="D9" s="36"/>
    </row>
    <row r="10" spans="1:4" ht="12.75">
      <c r="A10" s="36"/>
      <c r="B10" s="36"/>
      <c r="C10" s="108"/>
      <c r="D10" s="36"/>
    </row>
    <row r="11" spans="1:4" ht="12.75">
      <c r="A11" s="37" t="s">
        <v>55</v>
      </c>
      <c r="B11" s="38"/>
      <c r="C11" s="38"/>
      <c r="D11" s="38"/>
    </row>
  </sheetData>
  <mergeCells count="2">
    <mergeCell ref="A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G2" sqref="G2"/>
    </sheetView>
  </sheetViews>
  <sheetFormatPr defaultColWidth="9.140625" defaultRowHeight="12.75"/>
  <cols>
    <col min="1" max="1" width="21.140625" style="0" customWidth="1"/>
    <col min="2" max="2" width="11.7109375" style="0" customWidth="1"/>
    <col min="3" max="3" width="21.140625" style="0" bestFit="1" customWidth="1"/>
    <col min="4" max="4" width="14.140625" style="0" customWidth="1"/>
    <col min="5" max="5" width="10.28125" style="0" customWidth="1"/>
    <col min="6" max="6" width="19.140625" style="0" customWidth="1"/>
    <col min="8" max="8" width="10.57421875" style="0" customWidth="1"/>
    <col min="9" max="9" width="16.140625" style="0" customWidth="1"/>
    <col min="10" max="10" width="14.00390625" style="0" customWidth="1"/>
    <col min="11" max="11" width="22.140625" style="0" customWidth="1"/>
  </cols>
  <sheetData>
    <row r="1" spans="1:11" ht="20.25">
      <c r="A1" s="185" t="s">
        <v>236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1" ht="25.5">
      <c r="A2" s="39" t="s">
        <v>37</v>
      </c>
      <c r="B2" s="39" t="s">
        <v>38</v>
      </c>
      <c r="C2" s="39" t="s">
        <v>39</v>
      </c>
      <c r="D2" s="39" t="s">
        <v>40</v>
      </c>
      <c r="E2" s="39" t="s">
        <v>41</v>
      </c>
      <c r="F2" s="39" t="s">
        <v>42</v>
      </c>
      <c r="G2" s="39" t="s">
        <v>43</v>
      </c>
      <c r="H2" s="39" t="s">
        <v>44</v>
      </c>
      <c r="I2" s="39" t="s">
        <v>47</v>
      </c>
      <c r="J2" s="39" t="s">
        <v>45</v>
      </c>
      <c r="K2" s="39" t="s">
        <v>46</v>
      </c>
    </row>
    <row r="3" spans="1:11" ht="25.5">
      <c r="A3" s="122" t="s">
        <v>264</v>
      </c>
      <c r="B3" s="123" t="s">
        <v>265</v>
      </c>
      <c r="C3" s="123" t="s">
        <v>266</v>
      </c>
      <c r="D3" s="124">
        <v>1000</v>
      </c>
      <c r="E3" s="125">
        <v>0.05</v>
      </c>
      <c r="F3" s="124">
        <v>42141</v>
      </c>
      <c r="G3" s="126" t="s">
        <v>267</v>
      </c>
      <c r="H3" s="125">
        <v>0.05</v>
      </c>
      <c r="I3" s="124">
        <v>0</v>
      </c>
      <c r="J3" s="124">
        <v>0</v>
      </c>
      <c r="K3" s="127" t="s">
        <v>268</v>
      </c>
    </row>
    <row r="4" spans="1:11" ht="25.5">
      <c r="A4" s="128" t="s">
        <v>269</v>
      </c>
      <c r="B4" s="129" t="s">
        <v>270</v>
      </c>
      <c r="C4" s="129" t="s">
        <v>266</v>
      </c>
      <c r="D4" s="130">
        <v>0</v>
      </c>
      <c r="E4" s="131">
        <v>0.1333</v>
      </c>
      <c r="F4" s="130">
        <v>486</v>
      </c>
      <c r="G4" s="130">
        <v>64718</v>
      </c>
      <c r="H4" s="131">
        <v>0.1333</v>
      </c>
      <c r="I4" s="130">
        <v>0</v>
      </c>
      <c r="J4" s="130">
        <v>203</v>
      </c>
      <c r="K4" s="132" t="s">
        <v>271</v>
      </c>
    </row>
    <row r="5" spans="1:11" ht="38.25">
      <c r="A5" s="128" t="s">
        <v>272</v>
      </c>
      <c r="B5" s="129" t="s">
        <v>270</v>
      </c>
      <c r="C5" s="129" t="s">
        <v>266</v>
      </c>
      <c r="D5" s="130">
        <v>0</v>
      </c>
      <c r="E5" s="131">
        <v>0.2733</v>
      </c>
      <c r="F5" s="130">
        <v>29596</v>
      </c>
      <c r="G5" s="130">
        <v>8088583</v>
      </c>
      <c r="H5" s="131">
        <v>0.2733</v>
      </c>
      <c r="I5" s="130">
        <v>0</v>
      </c>
      <c r="J5" s="130">
        <v>1433</v>
      </c>
      <c r="K5" s="132" t="s">
        <v>273</v>
      </c>
    </row>
    <row r="6" spans="1:11" ht="12.75">
      <c r="A6" s="133"/>
      <c r="B6" s="134"/>
      <c r="C6" s="134"/>
      <c r="D6" s="130"/>
      <c r="E6" s="134"/>
      <c r="F6" s="130"/>
      <c r="G6" s="130"/>
      <c r="H6" s="134"/>
      <c r="I6" s="130"/>
      <c r="J6" s="130"/>
      <c r="K6" s="135"/>
    </row>
    <row r="7" spans="1:11" ht="12.75">
      <c r="A7" s="136"/>
      <c r="B7" s="137"/>
      <c r="C7" s="137"/>
      <c r="D7" s="124"/>
      <c r="E7" s="137"/>
      <c r="F7" s="124"/>
      <c r="G7" s="124"/>
      <c r="H7" s="137"/>
      <c r="I7" s="124"/>
      <c r="J7" s="124"/>
      <c r="K7" s="138"/>
    </row>
    <row r="8" spans="1:11" ht="12.75">
      <c r="A8" s="139" t="s">
        <v>274</v>
      </c>
      <c r="B8" s="137"/>
      <c r="C8" s="137"/>
      <c r="D8" s="124"/>
      <c r="E8" s="137"/>
      <c r="F8" s="124"/>
      <c r="G8" s="124"/>
      <c r="H8" s="137"/>
      <c r="I8" s="124"/>
      <c r="J8" s="124"/>
      <c r="K8" s="138"/>
    </row>
    <row r="9" spans="1:11" ht="12.75">
      <c r="A9" s="98"/>
      <c r="B9" s="42"/>
      <c r="C9" s="42"/>
      <c r="D9" s="107"/>
      <c r="E9" s="42"/>
      <c r="F9" s="107"/>
      <c r="G9" s="107"/>
      <c r="H9" s="42"/>
      <c r="I9" s="107"/>
      <c r="J9" s="107"/>
      <c r="K9" s="99"/>
    </row>
    <row r="10" spans="1:11" ht="12.75">
      <c r="A10" s="98"/>
      <c r="B10" s="42"/>
      <c r="C10" s="42"/>
      <c r="D10" s="107"/>
      <c r="E10" s="42"/>
      <c r="F10" s="107"/>
      <c r="G10" s="107"/>
      <c r="H10" s="42"/>
      <c r="I10" s="107"/>
      <c r="J10" s="107"/>
      <c r="K10" s="99"/>
    </row>
    <row r="11" spans="1:11" ht="12.75">
      <c r="A11" s="98"/>
      <c r="B11" s="42"/>
      <c r="C11" s="42"/>
      <c r="D11" s="107"/>
      <c r="E11" s="42"/>
      <c r="F11" s="107"/>
      <c r="G11" s="107"/>
      <c r="H11" s="42"/>
      <c r="I11" s="107"/>
      <c r="J11" s="107"/>
      <c r="K11" s="99"/>
    </row>
    <row r="12" spans="1:11" ht="12.75">
      <c r="A12" s="98"/>
      <c r="B12" s="42"/>
      <c r="C12" s="42"/>
      <c r="D12" s="107"/>
      <c r="E12" s="42"/>
      <c r="F12" s="107"/>
      <c r="G12" s="107"/>
      <c r="H12" s="42"/>
      <c r="I12" s="107"/>
      <c r="J12" s="107"/>
      <c r="K12" s="99"/>
    </row>
    <row r="13" spans="1:11" ht="12.75">
      <c r="A13" s="98"/>
      <c r="B13" s="42"/>
      <c r="C13" s="42"/>
      <c r="D13" s="107"/>
      <c r="E13" s="42"/>
      <c r="F13" s="107"/>
      <c r="G13" s="107"/>
      <c r="H13" s="42"/>
      <c r="I13" s="107"/>
      <c r="J13" s="107"/>
      <c r="K13" s="99"/>
    </row>
    <row r="14" spans="1:11" ht="12.75">
      <c r="A14" s="98"/>
      <c r="B14" s="42"/>
      <c r="C14" s="42"/>
      <c r="D14" s="107"/>
      <c r="E14" s="42"/>
      <c r="F14" s="107"/>
      <c r="G14" s="107"/>
      <c r="H14" s="42"/>
      <c r="I14" s="107"/>
      <c r="J14" s="107"/>
      <c r="K14" s="99"/>
    </row>
    <row r="15" spans="1:11" ht="12.75">
      <c r="A15" s="98"/>
      <c r="B15" s="42"/>
      <c r="C15" s="42"/>
      <c r="D15" s="107"/>
      <c r="E15" s="42"/>
      <c r="F15" s="107"/>
      <c r="G15" s="107"/>
      <c r="H15" s="42"/>
      <c r="I15" s="107"/>
      <c r="J15" s="107"/>
      <c r="K15" s="99"/>
    </row>
    <row r="16" spans="1:11" ht="12.75">
      <c r="A16" s="98"/>
      <c r="B16" s="42"/>
      <c r="C16" s="42"/>
      <c r="D16" s="107"/>
      <c r="E16" s="42"/>
      <c r="F16" s="107"/>
      <c r="G16" s="107"/>
      <c r="H16" s="42"/>
      <c r="I16" s="107"/>
      <c r="J16" s="107"/>
      <c r="K16" s="99"/>
    </row>
    <row r="17" spans="1:11" ht="12.75">
      <c r="A17" s="98"/>
      <c r="B17" s="42"/>
      <c r="C17" s="42"/>
      <c r="D17" s="107"/>
      <c r="E17" s="42"/>
      <c r="F17" s="107"/>
      <c r="G17" s="107"/>
      <c r="H17" s="42"/>
      <c r="I17" s="107"/>
      <c r="J17" s="107"/>
      <c r="K17" s="99"/>
    </row>
    <row r="18" spans="1:11" ht="12.75">
      <c r="A18" s="98"/>
      <c r="B18" s="42"/>
      <c r="C18" s="42"/>
      <c r="D18" s="107"/>
      <c r="E18" s="42"/>
      <c r="F18" s="107"/>
      <c r="G18" s="107"/>
      <c r="H18" s="42"/>
      <c r="I18" s="107"/>
      <c r="J18" s="107"/>
      <c r="K18" s="99"/>
    </row>
    <row r="19" spans="1:11" ht="12.75">
      <c r="A19" s="100" t="s">
        <v>55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2"/>
    </row>
    <row r="20" spans="1:11" ht="12.75">
      <c r="A20" s="94"/>
      <c r="B20" s="94"/>
      <c r="C20" s="94"/>
      <c r="D20" s="94"/>
      <c r="E20" s="94"/>
      <c r="F20" s="94"/>
      <c r="G20" s="94"/>
      <c r="H20" s="94"/>
      <c r="I20" s="94"/>
      <c r="J20" s="95"/>
      <c r="K20" s="95"/>
    </row>
    <row r="21" spans="1:11" ht="12.75">
      <c r="A21" s="94" t="s">
        <v>48</v>
      </c>
      <c r="B21" s="94"/>
      <c r="C21" s="94"/>
      <c r="D21" s="94"/>
      <c r="E21" s="94"/>
      <c r="F21" s="94"/>
      <c r="G21" s="94"/>
      <c r="H21" s="94"/>
      <c r="I21" s="94"/>
      <c r="J21" s="95"/>
      <c r="K21" s="95"/>
    </row>
    <row r="22" spans="1:11" ht="12.75">
      <c r="A22" s="94"/>
      <c r="B22" s="94"/>
      <c r="C22" s="94"/>
      <c r="D22" s="94"/>
      <c r="E22" s="94"/>
      <c r="F22" s="94"/>
      <c r="G22" s="94"/>
      <c r="H22" s="94"/>
      <c r="I22" s="94"/>
      <c r="J22" s="95"/>
      <c r="K22" s="95"/>
    </row>
    <row r="23" spans="1:11" ht="38.25">
      <c r="A23" s="43" t="s">
        <v>37</v>
      </c>
      <c r="B23" s="39" t="s">
        <v>39</v>
      </c>
      <c r="C23" s="39" t="s">
        <v>49</v>
      </c>
      <c r="D23" s="43" t="s">
        <v>41</v>
      </c>
      <c r="E23" s="39" t="s">
        <v>42</v>
      </c>
      <c r="F23" s="43" t="s">
        <v>43</v>
      </c>
      <c r="G23" s="39" t="s">
        <v>44</v>
      </c>
      <c r="H23" s="39" t="s">
        <v>47</v>
      </c>
      <c r="I23" s="39" t="s">
        <v>46</v>
      </c>
      <c r="J23" s="95"/>
      <c r="K23" s="95"/>
    </row>
    <row r="24" spans="1:11" ht="12.75">
      <c r="A24" s="96"/>
      <c r="B24" s="40"/>
      <c r="C24" s="41"/>
      <c r="D24" s="40"/>
      <c r="E24" s="41"/>
      <c r="F24" s="41"/>
      <c r="G24" s="40"/>
      <c r="H24" s="41"/>
      <c r="I24" s="97"/>
      <c r="J24" s="95"/>
      <c r="K24" s="95"/>
    </row>
    <row r="25" spans="1:11" ht="12.75">
      <c r="A25" s="98"/>
      <c r="B25" s="42"/>
      <c r="C25" s="107"/>
      <c r="D25" s="42"/>
      <c r="E25" s="107"/>
      <c r="F25" s="107"/>
      <c r="G25" s="42"/>
      <c r="H25" s="107"/>
      <c r="I25" s="99"/>
      <c r="J25" s="95"/>
      <c r="K25" s="95"/>
    </row>
    <row r="26" spans="1:11" ht="12.75">
      <c r="A26" s="98"/>
      <c r="B26" s="42"/>
      <c r="C26" s="107"/>
      <c r="D26" s="42"/>
      <c r="E26" s="107"/>
      <c r="F26" s="107"/>
      <c r="G26" s="42"/>
      <c r="H26" s="107"/>
      <c r="I26" s="99"/>
      <c r="J26" s="95"/>
      <c r="K26" s="95"/>
    </row>
    <row r="27" spans="1:11" ht="12.75">
      <c r="A27" s="98"/>
      <c r="B27" s="42"/>
      <c r="C27" s="107"/>
      <c r="D27" s="42"/>
      <c r="E27" s="107"/>
      <c r="F27" s="107"/>
      <c r="G27" s="42"/>
      <c r="H27" s="107"/>
      <c r="I27" s="99"/>
      <c r="J27" s="95"/>
      <c r="K27" s="95"/>
    </row>
    <row r="28" spans="1:11" ht="12.75">
      <c r="A28" s="98"/>
      <c r="B28" s="42"/>
      <c r="C28" s="107"/>
      <c r="D28" s="42"/>
      <c r="E28" s="107"/>
      <c r="F28" s="107"/>
      <c r="G28" s="42"/>
      <c r="H28" s="107"/>
      <c r="I28" s="99"/>
      <c r="J28" s="95"/>
      <c r="K28" s="95"/>
    </row>
    <row r="29" spans="1:11" ht="12.75">
      <c r="A29" s="98"/>
      <c r="B29" s="42"/>
      <c r="C29" s="107"/>
      <c r="D29" s="42"/>
      <c r="E29" s="107"/>
      <c r="F29" s="107"/>
      <c r="G29" s="42"/>
      <c r="H29" s="107"/>
      <c r="I29" s="99"/>
      <c r="J29" s="95"/>
      <c r="K29" s="95"/>
    </row>
    <row r="30" spans="1:11" ht="12.75">
      <c r="A30" s="98"/>
      <c r="B30" s="42"/>
      <c r="C30" s="107"/>
      <c r="D30" s="42"/>
      <c r="E30" s="107"/>
      <c r="F30" s="107"/>
      <c r="G30" s="42"/>
      <c r="H30" s="107"/>
      <c r="I30" s="99"/>
      <c r="J30" s="95"/>
      <c r="K30" s="95"/>
    </row>
    <row r="31" spans="1:11" ht="12.75">
      <c r="A31" s="98"/>
      <c r="B31" s="42"/>
      <c r="C31" s="107"/>
      <c r="D31" s="42"/>
      <c r="E31" s="107"/>
      <c r="F31" s="107"/>
      <c r="G31" s="42"/>
      <c r="H31" s="107"/>
      <c r="I31" s="99"/>
      <c r="J31" s="95"/>
      <c r="K31" s="95"/>
    </row>
    <row r="32" spans="1:11" ht="12.75">
      <c r="A32" s="98"/>
      <c r="B32" s="42"/>
      <c r="C32" s="107"/>
      <c r="D32" s="42"/>
      <c r="E32" s="107"/>
      <c r="F32" s="107"/>
      <c r="G32" s="42"/>
      <c r="H32" s="107"/>
      <c r="I32" s="99"/>
      <c r="J32" s="95"/>
      <c r="K32" s="95"/>
    </row>
    <row r="33" spans="1:11" ht="12.75">
      <c r="A33" s="98"/>
      <c r="B33" s="42"/>
      <c r="C33" s="107"/>
      <c r="D33" s="42"/>
      <c r="E33" s="107"/>
      <c r="F33" s="107"/>
      <c r="G33" s="42"/>
      <c r="H33" s="107"/>
      <c r="I33" s="99"/>
      <c r="J33" s="95"/>
      <c r="K33" s="95"/>
    </row>
    <row r="34" spans="1:11" ht="12.75">
      <c r="A34" s="103" t="s">
        <v>55</v>
      </c>
      <c r="B34" s="40"/>
      <c r="C34" s="40"/>
      <c r="D34" s="40"/>
      <c r="E34" s="40"/>
      <c r="F34" s="40"/>
      <c r="G34" s="40"/>
      <c r="H34" s="40"/>
      <c r="I34" s="40"/>
      <c r="J34" s="40"/>
      <c r="K34" s="97"/>
    </row>
  </sheetData>
  <mergeCells count="1">
    <mergeCell ref="A1:K1"/>
  </mergeCells>
  <printOptions gridLines="1"/>
  <pageMargins left="0.75" right="0.75" top="1" bottom="1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6" sqref="A6"/>
    </sheetView>
  </sheetViews>
  <sheetFormatPr defaultColWidth="9.140625" defaultRowHeight="12.75"/>
  <cols>
    <col min="1" max="1" width="14.8515625" style="0" customWidth="1"/>
    <col min="2" max="2" width="11.140625" style="0" customWidth="1"/>
    <col min="3" max="3" width="10.28125" style="0" customWidth="1"/>
    <col min="5" max="5" width="11.140625" style="0" customWidth="1"/>
    <col min="6" max="6" width="12.57421875" style="0" customWidth="1"/>
    <col min="7" max="7" width="12.00390625" style="0" customWidth="1"/>
    <col min="8" max="8" width="16.140625" style="0" customWidth="1"/>
  </cols>
  <sheetData>
    <row r="1" spans="1:8" ht="18.75">
      <c r="A1" s="188" t="s">
        <v>20</v>
      </c>
      <c r="B1" s="189"/>
      <c r="C1" s="189"/>
      <c r="D1" s="189"/>
      <c r="E1" s="189"/>
      <c r="F1" s="190"/>
      <c r="G1" s="190"/>
      <c r="H1" s="191"/>
    </row>
    <row r="2" spans="1:8" ht="12.75">
      <c r="A2" s="192" t="s">
        <v>78</v>
      </c>
      <c r="B2" s="193"/>
      <c r="C2" s="193"/>
      <c r="D2" s="193"/>
      <c r="E2" s="193"/>
      <c r="F2" s="193"/>
      <c r="G2" s="193"/>
      <c r="H2" s="194"/>
    </row>
    <row r="3" spans="1:8" ht="12.75">
      <c r="A3" s="44" t="s">
        <v>18</v>
      </c>
      <c r="B3" s="45"/>
      <c r="C3" s="45"/>
      <c r="D3" s="45"/>
      <c r="E3" s="45"/>
      <c r="F3" s="46"/>
      <c r="G3" s="46"/>
      <c r="H3" s="47"/>
    </row>
    <row r="4" spans="1:8" ht="12.75">
      <c r="A4" s="44"/>
      <c r="B4" s="45"/>
      <c r="C4" s="45"/>
      <c r="D4" s="45"/>
      <c r="E4" s="45"/>
      <c r="F4" s="46"/>
      <c r="G4" s="46"/>
      <c r="H4" s="47"/>
    </row>
    <row r="5" spans="1:8" ht="25.5">
      <c r="A5" s="48" t="s">
        <v>21</v>
      </c>
      <c r="B5" s="48" t="s">
        <v>22</v>
      </c>
      <c r="C5" s="48" t="s">
        <v>23</v>
      </c>
      <c r="D5" s="48" t="s">
        <v>24</v>
      </c>
      <c r="E5" s="49" t="s">
        <v>50</v>
      </c>
      <c r="F5" s="49" t="s">
        <v>25</v>
      </c>
      <c r="G5" s="48" t="s">
        <v>26</v>
      </c>
      <c r="H5" s="49" t="s">
        <v>27</v>
      </c>
    </row>
    <row r="6" spans="1:8" ht="12.75">
      <c r="A6" s="145" t="s">
        <v>277</v>
      </c>
      <c r="B6" s="50"/>
      <c r="C6" s="50"/>
      <c r="D6" s="50"/>
      <c r="E6" s="106"/>
      <c r="F6" s="106"/>
      <c r="G6" s="106"/>
      <c r="H6" s="50"/>
    </row>
    <row r="7" spans="1:8" ht="12.75">
      <c r="A7" s="50"/>
      <c r="B7" s="50"/>
      <c r="C7" s="50"/>
      <c r="D7" s="50"/>
      <c r="E7" s="106"/>
      <c r="F7" s="106"/>
      <c r="G7" s="106"/>
      <c r="H7" s="50"/>
    </row>
    <row r="8" spans="1:8" ht="12.75">
      <c r="A8" s="50"/>
      <c r="B8" s="50"/>
      <c r="C8" s="50"/>
      <c r="D8" s="50"/>
      <c r="E8" s="106"/>
      <c r="F8" s="106"/>
      <c r="G8" s="106"/>
      <c r="H8" s="50"/>
    </row>
    <row r="9" spans="1:8" ht="12.75">
      <c r="A9" s="50"/>
      <c r="B9" s="50"/>
      <c r="C9" s="50"/>
      <c r="D9" s="50"/>
      <c r="E9" s="106"/>
      <c r="F9" s="106"/>
      <c r="G9" s="106"/>
      <c r="H9" s="50"/>
    </row>
    <row r="10" spans="1:8" ht="12.75">
      <c r="A10" s="50"/>
      <c r="B10" s="50"/>
      <c r="C10" s="50"/>
      <c r="D10" s="50"/>
      <c r="E10" s="106"/>
      <c r="F10" s="106"/>
      <c r="G10" s="106"/>
      <c r="H10" s="50"/>
    </row>
    <row r="11" spans="1:8" ht="12.75">
      <c r="A11" s="51" t="s">
        <v>55</v>
      </c>
      <c r="B11" s="52"/>
      <c r="C11" s="52"/>
      <c r="D11" s="52"/>
      <c r="E11" s="52"/>
      <c r="F11" s="52"/>
      <c r="G11" s="52"/>
      <c r="H11" s="52"/>
    </row>
  </sheetData>
  <mergeCells count="2">
    <mergeCell ref="A1:H1"/>
    <mergeCell ref="A2:H2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7" sqref="A7"/>
    </sheetView>
  </sheetViews>
  <sheetFormatPr defaultColWidth="9.140625" defaultRowHeight="12.75"/>
  <cols>
    <col min="1" max="1" width="16.8515625" style="0" customWidth="1"/>
    <col min="2" max="2" width="15.7109375" style="0" customWidth="1"/>
    <col min="3" max="3" width="17.00390625" style="0" customWidth="1"/>
    <col min="4" max="4" width="18.57421875" style="0" customWidth="1"/>
    <col min="5" max="5" width="18.140625" style="0" customWidth="1"/>
  </cols>
  <sheetData>
    <row r="1" spans="1:5" ht="18.75">
      <c r="A1" s="195" t="s">
        <v>28</v>
      </c>
      <c r="B1" s="196"/>
      <c r="C1" s="196"/>
      <c r="D1" s="196"/>
      <c r="E1" s="197"/>
    </row>
    <row r="2" spans="1:5" ht="12.75">
      <c r="A2" s="198" t="s">
        <v>78</v>
      </c>
      <c r="B2" s="199"/>
      <c r="C2" s="199"/>
      <c r="D2" s="199"/>
      <c r="E2" s="200"/>
    </row>
    <row r="3" spans="1:5" ht="12.75">
      <c r="A3" s="53" t="s">
        <v>18</v>
      </c>
      <c r="B3" s="54"/>
      <c r="C3" s="54"/>
      <c r="D3" s="54"/>
      <c r="E3" s="55"/>
    </row>
    <row r="4" spans="1:5" ht="12.75">
      <c r="A4" s="53"/>
      <c r="B4" s="54"/>
      <c r="C4" s="54"/>
      <c r="D4" s="54"/>
      <c r="E4" s="55"/>
    </row>
    <row r="5" spans="1:5" ht="25.5">
      <c r="A5" s="56" t="s">
        <v>29</v>
      </c>
      <c r="B5" s="56" t="s">
        <v>30</v>
      </c>
      <c r="C5" s="56" t="s">
        <v>31</v>
      </c>
      <c r="D5" s="56" t="s">
        <v>32</v>
      </c>
      <c r="E5" s="57" t="s">
        <v>33</v>
      </c>
    </row>
    <row r="6" spans="1:5" ht="51">
      <c r="A6" s="146" t="s">
        <v>279</v>
      </c>
      <c r="B6" s="58">
        <v>1</v>
      </c>
      <c r="C6" s="147" t="s">
        <v>280</v>
      </c>
      <c r="D6" s="58">
        <v>8</v>
      </c>
      <c r="E6" s="105">
        <v>657</v>
      </c>
    </row>
    <row r="7" spans="1:5" ht="12.75">
      <c r="A7" s="58"/>
      <c r="B7" s="58"/>
      <c r="C7" s="58"/>
      <c r="D7" s="58"/>
      <c r="E7" s="105"/>
    </row>
    <row r="8" spans="1:5" ht="12.75">
      <c r="A8" s="58"/>
      <c r="B8" s="58"/>
      <c r="C8" s="58"/>
      <c r="D8" s="58"/>
      <c r="E8" s="105"/>
    </row>
    <row r="9" spans="1:5" ht="12.75">
      <c r="A9" s="58"/>
      <c r="B9" s="58"/>
      <c r="C9" s="58"/>
      <c r="D9" s="58"/>
      <c r="E9" s="105"/>
    </row>
    <row r="10" spans="1:5" ht="12.75">
      <c r="A10" s="58"/>
      <c r="B10" s="58"/>
      <c r="C10" s="58"/>
      <c r="D10" s="58"/>
      <c r="E10" s="105"/>
    </row>
    <row r="11" spans="1:5" ht="12.75">
      <c r="A11" s="59" t="s">
        <v>55</v>
      </c>
      <c r="B11" s="60"/>
      <c r="C11" s="60"/>
      <c r="D11" s="60"/>
      <c r="E11" s="60"/>
    </row>
  </sheetData>
  <mergeCells count="2">
    <mergeCell ref="A1:E1"/>
    <mergeCell ref="A2:E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9">
      <selection activeCell="A22" sqref="A22:G25"/>
    </sheetView>
  </sheetViews>
  <sheetFormatPr defaultColWidth="9.140625" defaultRowHeight="12.75"/>
  <cols>
    <col min="1" max="1" width="11.57421875" style="0" customWidth="1"/>
    <col min="2" max="2" width="12.421875" style="0" customWidth="1"/>
    <col min="3" max="4" width="11.57421875" style="0" customWidth="1"/>
    <col min="5" max="5" width="11.57421875" style="121" customWidth="1"/>
    <col min="6" max="7" width="11.57421875" style="0" customWidth="1"/>
  </cols>
  <sheetData>
    <row r="1" spans="1:7" ht="18.75">
      <c r="A1" s="201" t="s">
        <v>34</v>
      </c>
      <c r="B1" s="202"/>
      <c r="C1" s="202"/>
      <c r="D1" s="202"/>
      <c r="E1" s="203"/>
      <c r="F1" s="203"/>
      <c r="G1" s="204"/>
    </row>
    <row r="2" spans="1:7" ht="12.75">
      <c r="A2" s="205" t="s">
        <v>78</v>
      </c>
      <c r="B2" s="206"/>
      <c r="C2" s="206"/>
      <c r="D2" s="206"/>
      <c r="E2" s="206"/>
      <c r="F2" s="206"/>
      <c r="G2" s="207"/>
    </row>
    <row r="3" spans="1:7" ht="12.75">
      <c r="A3" s="63" t="s">
        <v>18</v>
      </c>
      <c r="B3" s="64"/>
      <c r="C3" s="64"/>
      <c r="D3" s="64"/>
      <c r="E3" s="120"/>
      <c r="F3" s="65"/>
      <c r="G3" s="66"/>
    </row>
    <row r="4" spans="1:7" ht="12.75">
      <c r="A4" s="63"/>
      <c r="B4" s="64"/>
      <c r="C4" s="64"/>
      <c r="D4" s="64"/>
      <c r="E4" s="120"/>
      <c r="F4" s="65"/>
      <c r="G4" s="66"/>
    </row>
    <row r="5" spans="1:7" ht="26.25" thickBot="1">
      <c r="A5" s="67" t="s">
        <v>61</v>
      </c>
      <c r="B5" s="68" t="s">
        <v>62</v>
      </c>
      <c r="C5" s="68" t="s">
        <v>63</v>
      </c>
      <c r="D5" s="68" t="s">
        <v>64</v>
      </c>
      <c r="E5" s="67" t="s">
        <v>65</v>
      </c>
      <c r="F5" s="67" t="s">
        <v>66</v>
      </c>
      <c r="G5" s="67" t="s">
        <v>67</v>
      </c>
    </row>
    <row r="6" spans="1:7" ht="51.75" thickBot="1">
      <c r="A6" s="116" t="s">
        <v>251</v>
      </c>
      <c r="B6" s="117" t="s">
        <v>252</v>
      </c>
      <c r="C6" s="117"/>
      <c r="D6" s="118">
        <v>256</v>
      </c>
      <c r="E6" s="119" t="s">
        <v>253</v>
      </c>
      <c r="F6" s="118">
        <v>72</v>
      </c>
      <c r="G6" s="119" t="s">
        <v>254</v>
      </c>
    </row>
    <row r="7" spans="1:7" ht="51.75" thickBot="1">
      <c r="A7" s="116" t="s">
        <v>251</v>
      </c>
      <c r="B7" s="117" t="s">
        <v>252</v>
      </c>
      <c r="C7" s="117"/>
      <c r="D7" s="118">
        <v>100</v>
      </c>
      <c r="E7" s="119" t="s">
        <v>253</v>
      </c>
      <c r="F7" s="118"/>
      <c r="G7" s="119" t="s">
        <v>254</v>
      </c>
    </row>
    <row r="8" spans="1:7" ht="26.25" thickBot="1">
      <c r="A8" s="116" t="s">
        <v>255</v>
      </c>
      <c r="B8" s="117" t="s">
        <v>256</v>
      </c>
      <c r="C8" s="117"/>
      <c r="D8" s="118">
        <v>549</v>
      </c>
      <c r="E8" s="119" t="s">
        <v>253</v>
      </c>
      <c r="F8" s="118"/>
      <c r="G8" s="119" t="s">
        <v>257</v>
      </c>
    </row>
    <row r="9" spans="1:7" ht="26.25" thickBot="1">
      <c r="A9" s="116" t="s">
        <v>258</v>
      </c>
      <c r="B9" s="117" t="s">
        <v>256</v>
      </c>
      <c r="C9" s="117"/>
      <c r="D9" s="118">
        <v>1209</v>
      </c>
      <c r="E9" s="119" t="s">
        <v>253</v>
      </c>
      <c r="F9" s="118"/>
      <c r="G9" s="119" t="s">
        <v>257</v>
      </c>
    </row>
    <row r="10" spans="1:7" ht="39" thickBot="1">
      <c r="A10" s="116" t="s">
        <v>259</v>
      </c>
      <c r="B10" s="117" t="s">
        <v>260</v>
      </c>
      <c r="C10" s="117"/>
      <c r="D10" s="118">
        <f>697+322</f>
        <v>1019</v>
      </c>
      <c r="E10" s="119" t="s">
        <v>253</v>
      </c>
      <c r="F10" s="118"/>
      <c r="G10" s="119" t="s">
        <v>257</v>
      </c>
    </row>
    <row r="11" spans="1:7" ht="26.25" thickBot="1">
      <c r="A11" s="116" t="s">
        <v>261</v>
      </c>
      <c r="B11" s="117" t="s">
        <v>256</v>
      </c>
      <c r="C11" s="117"/>
      <c r="D11" s="118">
        <v>460</v>
      </c>
      <c r="E11" s="119" t="s">
        <v>253</v>
      </c>
      <c r="F11" s="118"/>
      <c r="G11" s="119" t="s">
        <v>257</v>
      </c>
    </row>
    <row r="12" spans="1:7" ht="26.25" thickBot="1">
      <c r="A12" s="116" t="s">
        <v>262</v>
      </c>
      <c r="B12" s="117" t="s">
        <v>256</v>
      </c>
      <c r="C12" s="117"/>
      <c r="D12" s="118">
        <v>1208</v>
      </c>
      <c r="E12" s="119" t="s">
        <v>253</v>
      </c>
      <c r="F12" s="118"/>
      <c r="G12" s="119" t="s">
        <v>257</v>
      </c>
    </row>
    <row r="13" spans="1:7" ht="26.25" thickBot="1">
      <c r="A13" s="116" t="s">
        <v>263</v>
      </c>
      <c r="B13" s="117" t="s">
        <v>256</v>
      </c>
      <c r="C13" s="117"/>
      <c r="D13" s="118">
        <v>325</v>
      </c>
      <c r="E13" s="119" t="s">
        <v>253</v>
      </c>
      <c r="F13" s="118"/>
      <c r="G13" s="119" t="s">
        <v>257</v>
      </c>
    </row>
    <row r="14" spans="1:7" ht="13.5" thickBot="1">
      <c r="A14" s="116" t="s">
        <v>240</v>
      </c>
      <c r="B14" s="117" t="s">
        <v>241</v>
      </c>
      <c r="C14" s="117"/>
      <c r="D14" s="118">
        <v>400</v>
      </c>
      <c r="E14" s="119" t="s">
        <v>238</v>
      </c>
      <c r="F14" s="118">
        <v>0</v>
      </c>
      <c r="G14" s="119" t="s">
        <v>254</v>
      </c>
    </row>
    <row r="15" spans="1:7" ht="90" thickBot="1">
      <c r="A15" s="116" t="s">
        <v>242</v>
      </c>
      <c r="B15" s="117" t="s">
        <v>239</v>
      </c>
      <c r="C15" s="117"/>
      <c r="D15" s="118">
        <v>314</v>
      </c>
      <c r="E15" s="119" t="s">
        <v>238</v>
      </c>
      <c r="F15" s="118">
        <v>166</v>
      </c>
      <c r="G15" s="119" t="s">
        <v>254</v>
      </c>
    </row>
    <row r="16" spans="1:7" ht="90" thickBot="1">
      <c r="A16" s="116" t="s">
        <v>242</v>
      </c>
      <c r="B16" s="117" t="s">
        <v>243</v>
      </c>
      <c r="C16" s="117"/>
      <c r="D16" s="118">
        <v>342</v>
      </c>
      <c r="E16" s="119" t="s">
        <v>238</v>
      </c>
      <c r="F16" s="118">
        <v>12</v>
      </c>
      <c r="G16" s="119" t="s">
        <v>254</v>
      </c>
    </row>
    <row r="17" spans="1:7" ht="77.25" thickBot="1">
      <c r="A17" s="116" t="s">
        <v>244</v>
      </c>
      <c r="B17" s="117" t="s">
        <v>245</v>
      </c>
      <c r="C17" s="117"/>
      <c r="D17" s="118">
        <v>290</v>
      </c>
      <c r="E17" s="119" t="s">
        <v>238</v>
      </c>
      <c r="F17" s="118">
        <v>33</v>
      </c>
      <c r="G17" s="119" t="s">
        <v>254</v>
      </c>
    </row>
    <row r="18" spans="1:7" ht="51.75" thickBot="1">
      <c r="A18" s="116" t="s">
        <v>246</v>
      </c>
      <c r="B18" s="117" t="s">
        <v>247</v>
      </c>
      <c r="C18" s="117"/>
      <c r="D18" s="118">
        <v>350</v>
      </c>
      <c r="E18" s="119" t="s">
        <v>238</v>
      </c>
      <c r="F18" s="118">
        <v>0</v>
      </c>
      <c r="G18" s="119" t="s">
        <v>254</v>
      </c>
    </row>
    <row r="19" spans="1:7" ht="39" thickBot="1">
      <c r="A19" s="116" t="s">
        <v>248</v>
      </c>
      <c r="B19" s="117" t="s">
        <v>249</v>
      </c>
      <c r="C19" s="117"/>
      <c r="D19" s="118">
        <v>200</v>
      </c>
      <c r="E19" s="119" t="s">
        <v>238</v>
      </c>
      <c r="F19" s="118">
        <v>9</v>
      </c>
      <c r="G19" s="119" t="s">
        <v>254</v>
      </c>
    </row>
    <row r="20" spans="1:7" ht="26.25" thickBot="1">
      <c r="A20" s="116" t="s">
        <v>250</v>
      </c>
      <c r="B20" s="117" t="s">
        <v>237</v>
      </c>
      <c r="C20" s="117"/>
      <c r="D20" s="118">
        <v>200</v>
      </c>
      <c r="E20" s="119" t="s">
        <v>238</v>
      </c>
      <c r="F20" s="118">
        <v>0</v>
      </c>
      <c r="G20" s="119" t="s">
        <v>254</v>
      </c>
    </row>
    <row r="21" spans="1:7" ht="51.75" thickBot="1">
      <c r="A21" s="169" t="s">
        <v>335</v>
      </c>
      <c r="B21" s="170" t="s">
        <v>336</v>
      </c>
      <c r="C21" s="170"/>
      <c r="D21" s="171">
        <v>420</v>
      </c>
      <c r="E21" s="172" t="s">
        <v>338</v>
      </c>
      <c r="F21" s="171">
        <v>420</v>
      </c>
      <c r="G21" s="172" t="s">
        <v>337</v>
      </c>
    </row>
    <row r="22" spans="1:7" ht="26.25" thickBot="1">
      <c r="A22" s="169" t="s">
        <v>340</v>
      </c>
      <c r="B22" s="170" t="s">
        <v>341</v>
      </c>
      <c r="C22" s="170" t="s">
        <v>342</v>
      </c>
      <c r="D22" s="171">
        <v>1773466</v>
      </c>
      <c r="E22" s="172" t="s">
        <v>346</v>
      </c>
      <c r="F22" s="171">
        <v>0</v>
      </c>
      <c r="G22" s="172">
        <v>2006</v>
      </c>
    </row>
    <row r="23" spans="1:7" ht="26.25" thickBot="1">
      <c r="A23" s="169" t="s">
        <v>340</v>
      </c>
      <c r="B23" s="170" t="s">
        <v>343</v>
      </c>
      <c r="C23" s="170" t="s">
        <v>342</v>
      </c>
      <c r="D23" s="171">
        <v>223996</v>
      </c>
      <c r="E23" s="172" t="s">
        <v>346</v>
      </c>
      <c r="F23" s="171">
        <v>0</v>
      </c>
      <c r="G23" s="172">
        <v>2006</v>
      </c>
    </row>
    <row r="24" spans="1:7" ht="26.25" thickBot="1">
      <c r="A24" s="169" t="s">
        <v>340</v>
      </c>
      <c r="B24" s="170" t="s">
        <v>344</v>
      </c>
      <c r="C24" s="170" t="s">
        <v>342</v>
      </c>
      <c r="D24" s="171">
        <v>235000</v>
      </c>
      <c r="E24" s="172" t="s">
        <v>346</v>
      </c>
      <c r="F24" s="171">
        <v>100715</v>
      </c>
      <c r="G24" s="172">
        <v>2006</v>
      </c>
    </row>
    <row r="25" spans="1:7" ht="13.5" thickBot="1">
      <c r="A25" s="169" t="s">
        <v>340</v>
      </c>
      <c r="B25" s="170" t="s">
        <v>345</v>
      </c>
      <c r="C25" s="170" t="s">
        <v>342</v>
      </c>
      <c r="D25" s="171">
        <v>556550</v>
      </c>
      <c r="E25" s="172" t="s">
        <v>346</v>
      </c>
      <c r="F25" s="171">
        <v>350120</v>
      </c>
      <c r="G25" s="172">
        <v>2006</v>
      </c>
    </row>
  </sheetData>
  <mergeCells count="2">
    <mergeCell ref="A1:G1"/>
    <mergeCell ref="A2:G2"/>
  </mergeCells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1"/>
  <sheetViews>
    <sheetView tabSelected="1" workbookViewId="0" topLeftCell="A2">
      <selection activeCell="D30" sqref="D30"/>
    </sheetView>
  </sheetViews>
  <sheetFormatPr defaultColWidth="9.140625" defaultRowHeight="12.75"/>
  <cols>
    <col min="1" max="1" width="43.57421875" style="0" customWidth="1"/>
    <col min="2" max="5" width="17.140625" style="0" customWidth="1"/>
    <col min="6" max="6" width="17.140625" style="0" bestFit="1" customWidth="1"/>
  </cols>
  <sheetData>
    <row r="1" spans="1:6" ht="18.75">
      <c r="A1" s="208" t="s">
        <v>35</v>
      </c>
      <c r="B1" s="209"/>
      <c r="C1" s="209"/>
      <c r="D1" s="209"/>
      <c r="E1" s="209"/>
      <c r="F1" s="210"/>
    </row>
    <row r="2" spans="1:6" ht="12.75">
      <c r="A2" s="205" t="s">
        <v>78</v>
      </c>
      <c r="B2" s="211"/>
      <c r="C2" s="211"/>
      <c r="D2" s="211"/>
      <c r="E2" s="211"/>
      <c r="F2" s="212"/>
    </row>
    <row r="3" spans="1:6" ht="12.75">
      <c r="A3" s="80" t="s">
        <v>68</v>
      </c>
      <c r="B3" s="81"/>
      <c r="C3" s="81"/>
      <c r="D3" s="81"/>
      <c r="E3" s="81"/>
      <c r="F3" s="82"/>
    </row>
    <row r="4" spans="1:6" ht="12.75">
      <c r="A4" s="83"/>
      <c r="B4" s="84"/>
      <c r="C4" s="84"/>
      <c r="D4" s="84"/>
      <c r="E4" s="84"/>
      <c r="F4" s="85"/>
    </row>
    <row r="5" spans="1:6" ht="20.25" customHeight="1">
      <c r="A5" s="86"/>
      <c r="B5" s="68" t="s">
        <v>69</v>
      </c>
      <c r="C5" s="68" t="s">
        <v>70</v>
      </c>
      <c r="D5" s="68" t="s">
        <v>71</v>
      </c>
      <c r="E5" s="68" t="s">
        <v>72</v>
      </c>
      <c r="F5" s="68" t="s">
        <v>73</v>
      </c>
    </row>
    <row r="6" spans="1:6" ht="12.75">
      <c r="A6" s="69" t="s">
        <v>307</v>
      </c>
      <c r="B6" s="76" t="s">
        <v>316</v>
      </c>
      <c r="C6" s="76" t="s">
        <v>318</v>
      </c>
      <c r="D6" s="76"/>
      <c r="E6" s="76"/>
      <c r="F6" s="70"/>
    </row>
    <row r="7" spans="1:6" ht="12.75">
      <c r="A7" s="148" t="s">
        <v>308</v>
      </c>
      <c r="B7" s="77"/>
      <c r="C7" s="77"/>
      <c r="D7" s="77"/>
      <c r="E7" s="77"/>
      <c r="F7" s="72"/>
    </row>
    <row r="8" spans="1:6" ht="12.75">
      <c r="A8" s="148"/>
      <c r="B8" s="77"/>
      <c r="C8" s="77"/>
      <c r="D8" s="77"/>
      <c r="E8" s="77"/>
      <c r="F8" s="72"/>
    </row>
    <row r="9" spans="1:6" ht="12.75">
      <c r="A9" s="148"/>
      <c r="B9" s="77"/>
      <c r="C9" s="77"/>
      <c r="D9" s="77"/>
      <c r="E9" s="77"/>
      <c r="F9" s="72"/>
    </row>
    <row r="10" spans="1:6" ht="12.75">
      <c r="A10" s="148"/>
      <c r="B10" s="77"/>
      <c r="C10" s="77"/>
      <c r="D10" s="77"/>
      <c r="E10" s="77"/>
      <c r="F10" s="72"/>
    </row>
    <row r="11" spans="1:6" ht="12.75">
      <c r="A11" s="148" t="s">
        <v>317</v>
      </c>
      <c r="B11" s="77"/>
      <c r="C11" s="77"/>
      <c r="D11" s="77"/>
      <c r="E11" s="77"/>
      <c r="F11" s="72"/>
    </row>
    <row r="12" spans="1:6" ht="12.75">
      <c r="A12" s="148" t="s">
        <v>306</v>
      </c>
      <c r="B12" s="77"/>
      <c r="C12" s="77"/>
      <c r="D12" s="77"/>
      <c r="E12" s="77"/>
      <c r="F12" s="72"/>
    </row>
    <row r="13" spans="1:6" ht="12.75">
      <c r="A13" s="148" t="s">
        <v>304</v>
      </c>
      <c r="B13" s="77"/>
      <c r="C13" s="77"/>
      <c r="D13" s="77"/>
      <c r="E13" s="77"/>
      <c r="F13" s="72"/>
    </row>
    <row r="14" spans="1:6" ht="12.75">
      <c r="A14" s="165" t="s">
        <v>305</v>
      </c>
      <c r="B14" s="77"/>
      <c r="C14" s="77"/>
      <c r="D14" s="77"/>
      <c r="E14" s="77"/>
      <c r="F14" s="72"/>
    </row>
    <row r="15" spans="1:6" ht="12.75">
      <c r="A15" s="166"/>
      <c r="B15" s="77"/>
      <c r="C15" s="77"/>
      <c r="D15" s="77"/>
      <c r="E15" s="77"/>
      <c r="F15" s="72"/>
    </row>
    <row r="16" spans="1:6" ht="12.75">
      <c r="A16" s="166" t="s">
        <v>309</v>
      </c>
      <c r="B16" s="77"/>
      <c r="C16" s="77"/>
      <c r="D16" s="77"/>
      <c r="E16" s="77"/>
      <c r="F16" s="72"/>
    </row>
    <row r="17" spans="2:6" ht="12.75">
      <c r="B17" s="77"/>
      <c r="C17" s="77"/>
      <c r="D17" s="77"/>
      <c r="E17" s="77"/>
      <c r="F17" s="72"/>
    </row>
    <row r="18" spans="1:6" ht="12.75">
      <c r="A18" s="148" t="s">
        <v>303</v>
      </c>
      <c r="B18" s="77"/>
      <c r="C18" s="77"/>
      <c r="D18" s="77"/>
      <c r="E18" s="77"/>
      <c r="F18" s="72"/>
    </row>
    <row r="19" spans="1:6" ht="12.75">
      <c r="A19" s="148" t="s">
        <v>302</v>
      </c>
      <c r="B19" s="77"/>
      <c r="C19" s="77"/>
      <c r="D19" s="77"/>
      <c r="E19" s="77"/>
      <c r="F19" s="72"/>
    </row>
    <row r="20" spans="1:6" ht="12.75">
      <c r="A20" s="148"/>
      <c r="B20" s="77"/>
      <c r="C20" s="77"/>
      <c r="D20" s="77"/>
      <c r="E20" s="77"/>
      <c r="F20" s="72"/>
    </row>
    <row r="21" spans="1:6" ht="12.75">
      <c r="A21" s="148" t="s">
        <v>285</v>
      </c>
      <c r="B21" s="77"/>
      <c r="C21" s="77"/>
      <c r="D21" s="77"/>
      <c r="E21" s="77"/>
      <c r="F21" s="72"/>
    </row>
    <row r="22" spans="1:6" ht="12.75">
      <c r="A22" s="148" t="s">
        <v>284</v>
      </c>
      <c r="B22" s="77"/>
      <c r="C22" s="77"/>
      <c r="D22" s="77"/>
      <c r="E22" s="77"/>
      <c r="F22" s="72"/>
    </row>
    <row r="23" spans="1:6" ht="12.75">
      <c r="A23" s="71" t="s">
        <v>74</v>
      </c>
      <c r="B23" s="77"/>
      <c r="C23" s="77"/>
      <c r="D23" s="77"/>
      <c r="E23" s="77"/>
      <c r="F23" s="72"/>
    </row>
    <row r="24" spans="1:6" ht="12.75">
      <c r="A24" s="71" t="s">
        <v>82</v>
      </c>
      <c r="B24" s="149"/>
      <c r="C24" s="149">
        <f>C25</f>
        <v>5099</v>
      </c>
      <c r="D24" s="77"/>
      <c r="E24" s="77"/>
      <c r="F24" s="72"/>
    </row>
    <row r="25" spans="1:6" ht="12.75">
      <c r="A25" s="87" t="s">
        <v>83</v>
      </c>
      <c r="B25" s="77">
        <v>5260</v>
      </c>
      <c r="C25" s="77">
        <v>5099</v>
      </c>
      <c r="D25" s="77">
        <v>26015</v>
      </c>
      <c r="E25" s="77">
        <f>C25+20098</f>
        <v>25197</v>
      </c>
      <c r="F25" s="72">
        <v>2007</v>
      </c>
    </row>
    <row r="26" spans="1:6" ht="12.75">
      <c r="A26" s="71" t="s">
        <v>84</v>
      </c>
      <c r="B26" s="149"/>
      <c r="C26" s="149">
        <f>SUM(C27:C49)</f>
        <v>78724</v>
      </c>
      <c r="D26" s="77"/>
      <c r="E26" s="77"/>
      <c r="F26" s="72"/>
    </row>
    <row r="27" spans="1:6" s="162" customFormat="1" ht="12.75">
      <c r="A27" s="163" t="s">
        <v>289</v>
      </c>
      <c r="B27" s="164">
        <v>23186</v>
      </c>
      <c r="C27" s="164">
        <v>0</v>
      </c>
      <c r="D27" s="113"/>
      <c r="E27" s="113"/>
      <c r="F27" s="114"/>
    </row>
    <row r="28" spans="1:6" s="162" customFormat="1" ht="12.75">
      <c r="A28" s="163" t="s">
        <v>328</v>
      </c>
      <c r="B28" s="164">
        <v>19</v>
      </c>
      <c r="C28" s="164">
        <v>0</v>
      </c>
      <c r="D28" s="113">
        <v>19</v>
      </c>
      <c r="E28" s="113">
        <v>0</v>
      </c>
      <c r="F28" s="114" t="s">
        <v>330</v>
      </c>
    </row>
    <row r="29" spans="1:6" s="162" customFormat="1" ht="12.75">
      <c r="A29" s="163" t="s">
        <v>333</v>
      </c>
      <c r="B29" s="164">
        <v>0</v>
      </c>
      <c r="C29" s="164">
        <v>149</v>
      </c>
      <c r="D29" s="113">
        <v>0</v>
      </c>
      <c r="E29" s="113">
        <v>149</v>
      </c>
      <c r="F29" s="114" t="s">
        <v>334</v>
      </c>
    </row>
    <row r="30" spans="1:6" s="162" customFormat="1" ht="12.75">
      <c r="A30" s="163" t="s">
        <v>290</v>
      </c>
      <c r="B30" s="164">
        <v>0</v>
      </c>
      <c r="C30" s="164">
        <v>-3</v>
      </c>
      <c r="D30" s="113"/>
      <c r="E30" s="113"/>
      <c r="F30" s="114">
        <v>2006</v>
      </c>
    </row>
    <row r="31" spans="1:6" s="162" customFormat="1" ht="12.75">
      <c r="A31" s="163" t="s">
        <v>296</v>
      </c>
      <c r="B31" s="164">
        <v>0</v>
      </c>
      <c r="C31" s="164">
        <v>10</v>
      </c>
      <c r="D31" s="113"/>
      <c r="E31" s="113"/>
      <c r="F31" s="114">
        <v>2006</v>
      </c>
    </row>
    <row r="32" spans="1:6" s="162" customFormat="1" ht="12.75">
      <c r="A32" s="163" t="s">
        <v>297</v>
      </c>
      <c r="B32" s="164">
        <v>462</v>
      </c>
      <c r="C32" s="164">
        <v>416</v>
      </c>
      <c r="D32" s="114" t="s">
        <v>331</v>
      </c>
      <c r="E32" s="113"/>
      <c r="F32" s="114"/>
    </row>
    <row r="33" spans="1:6" s="162" customFormat="1" ht="12.75">
      <c r="A33" s="163" t="s">
        <v>295</v>
      </c>
      <c r="B33" s="164">
        <v>257</v>
      </c>
      <c r="C33" s="164">
        <v>341</v>
      </c>
      <c r="D33" s="114" t="s">
        <v>332</v>
      </c>
      <c r="E33" s="113"/>
      <c r="F33" s="114"/>
    </row>
    <row r="34" spans="1:6" s="162" customFormat="1" ht="12.75">
      <c r="A34" s="163" t="s">
        <v>294</v>
      </c>
      <c r="B34" s="164">
        <v>1317</v>
      </c>
      <c r="C34" s="164">
        <v>0</v>
      </c>
      <c r="D34" s="113">
        <v>1317</v>
      </c>
      <c r="E34" s="113"/>
      <c r="F34" s="114" t="s">
        <v>329</v>
      </c>
    </row>
    <row r="35" spans="1:6" s="162" customFormat="1" ht="12.75">
      <c r="A35" s="163" t="s">
        <v>293</v>
      </c>
      <c r="B35" s="164">
        <v>100</v>
      </c>
      <c r="C35" s="164">
        <v>99</v>
      </c>
      <c r="D35" s="113">
        <v>500</v>
      </c>
      <c r="E35" s="113">
        <v>499</v>
      </c>
      <c r="F35" s="114" t="s">
        <v>339</v>
      </c>
    </row>
    <row r="36" spans="1:6" s="162" customFormat="1" ht="12.75">
      <c r="A36" s="163" t="s">
        <v>292</v>
      </c>
      <c r="B36" s="164">
        <v>4500</v>
      </c>
      <c r="C36" s="164">
        <v>3124</v>
      </c>
      <c r="D36" s="113">
        <v>4500</v>
      </c>
      <c r="E36" s="113">
        <v>3124</v>
      </c>
      <c r="F36" s="114">
        <v>2007</v>
      </c>
    </row>
    <row r="37" spans="1:6" s="162" customFormat="1" ht="12.75">
      <c r="A37" s="163" t="s">
        <v>291</v>
      </c>
      <c r="B37" s="164">
        <v>0</v>
      </c>
      <c r="C37" s="164">
        <v>46</v>
      </c>
      <c r="D37" s="113"/>
      <c r="E37" s="113"/>
      <c r="F37" s="114"/>
    </row>
    <row r="38" spans="1:6" ht="12.75">
      <c r="A38" s="112" t="s">
        <v>85</v>
      </c>
      <c r="B38" s="77">
        <v>438</v>
      </c>
      <c r="C38" s="77">
        <v>582</v>
      </c>
      <c r="D38" s="77">
        <v>2081</v>
      </c>
      <c r="E38" s="77">
        <f>C38+550</f>
        <v>1132</v>
      </c>
      <c r="F38" s="72">
        <v>2008</v>
      </c>
    </row>
    <row r="39" spans="1:6" ht="12.75">
      <c r="A39" s="112" t="s">
        <v>86</v>
      </c>
      <c r="B39" s="77">
        <v>600</v>
      </c>
      <c r="C39" s="77">
        <v>722</v>
      </c>
      <c r="D39" s="77">
        <v>20605</v>
      </c>
      <c r="E39" s="77">
        <f>C39+3969</f>
        <v>4691</v>
      </c>
      <c r="F39" s="72">
        <v>2007</v>
      </c>
    </row>
    <row r="40" spans="1:6" ht="12.75">
      <c r="A40" s="112" t="s">
        <v>87</v>
      </c>
      <c r="B40" s="77">
        <v>50</v>
      </c>
      <c r="C40" s="77">
        <v>0</v>
      </c>
      <c r="D40" s="77">
        <v>770</v>
      </c>
      <c r="E40" s="77">
        <v>0</v>
      </c>
      <c r="F40" s="72">
        <v>2006</v>
      </c>
    </row>
    <row r="41" spans="1:6" ht="12.75">
      <c r="A41" s="112" t="s">
        <v>88</v>
      </c>
      <c r="B41" s="77">
        <v>21793</v>
      </c>
      <c r="C41" s="77">
        <v>29312</v>
      </c>
      <c r="D41" s="77">
        <v>61697</v>
      </c>
      <c r="E41" s="77">
        <f>C41+35180</f>
        <v>64492</v>
      </c>
      <c r="F41" s="72">
        <v>2006</v>
      </c>
    </row>
    <row r="42" spans="1:6" ht="12.75">
      <c r="A42" s="112" t="s">
        <v>89</v>
      </c>
      <c r="B42" s="77">
        <v>800</v>
      </c>
      <c r="C42" s="77">
        <v>1771</v>
      </c>
      <c r="D42" s="77">
        <v>26952</v>
      </c>
      <c r="E42" s="77">
        <f>C42+3890</f>
        <v>5661</v>
      </c>
      <c r="F42" s="72">
        <v>2007</v>
      </c>
    </row>
    <row r="43" spans="1:6" ht="12.75">
      <c r="A43" s="112" t="s">
        <v>90</v>
      </c>
      <c r="B43" s="77">
        <v>1800</v>
      </c>
      <c r="C43" s="77">
        <v>0</v>
      </c>
      <c r="D43" s="77">
        <v>2552</v>
      </c>
      <c r="E43" s="77">
        <v>221</v>
      </c>
      <c r="F43" s="72">
        <v>2007</v>
      </c>
    </row>
    <row r="44" spans="1:6" ht="12.75">
      <c r="A44" s="112" t="s">
        <v>91</v>
      </c>
      <c r="B44" s="77">
        <v>3156</v>
      </c>
      <c r="C44" s="77">
        <v>3116</v>
      </c>
      <c r="D44" s="77">
        <v>62681</v>
      </c>
      <c r="E44" s="77">
        <f>C44+57525</f>
        <v>60641</v>
      </c>
      <c r="F44" s="72">
        <v>2006</v>
      </c>
    </row>
    <row r="45" spans="1:6" ht="12.75">
      <c r="A45" s="112" t="s">
        <v>92</v>
      </c>
      <c r="B45" s="113">
        <v>0</v>
      </c>
      <c r="C45" s="77">
        <v>0</v>
      </c>
      <c r="D45" s="77">
        <v>8508</v>
      </c>
      <c r="E45" s="77">
        <v>8026</v>
      </c>
      <c r="F45" s="72">
        <v>2006</v>
      </c>
    </row>
    <row r="46" spans="1:6" ht="12.75">
      <c r="A46" s="87" t="s">
        <v>93</v>
      </c>
      <c r="B46" s="77">
        <v>0</v>
      </c>
      <c r="C46" s="77">
        <v>546</v>
      </c>
      <c r="D46" s="77">
        <v>1794</v>
      </c>
      <c r="E46" s="77">
        <f>C46+1190</f>
        <v>1736</v>
      </c>
      <c r="F46" s="72">
        <v>2007</v>
      </c>
    </row>
    <row r="47" spans="1:6" ht="12.75">
      <c r="A47" s="112" t="s">
        <v>94</v>
      </c>
      <c r="B47" s="77">
        <v>8372</v>
      </c>
      <c r="C47" s="77">
        <v>25734</v>
      </c>
      <c r="D47" s="77">
        <v>59473</v>
      </c>
      <c r="E47" s="77">
        <f>C47+29558</f>
        <v>55292</v>
      </c>
      <c r="F47" s="72">
        <v>2006</v>
      </c>
    </row>
    <row r="48" spans="1:6" ht="12.75">
      <c r="A48" s="112" t="s">
        <v>95</v>
      </c>
      <c r="B48" s="77">
        <v>2000</v>
      </c>
      <c r="C48" s="77">
        <v>1921</v>
      </c>
      <c r="D48" s="77">
        <v>3065</v>
      </c>
      <c r="E48" s="77">
        <f>C48+1332</f>
        <v>3253</v>
      </c>
      <c r="F48" s="72">
        <v>2006</v>
      </c>
    </row>
    <row r="49" spans="1:6" ht="12.75">
      <c r="A49" s="112" t="s">
        <v>96</v>
      </c>
      <c r="B49" s="113">
        <v>7596</v>
      </c>
      <c r="C49" s="77">
        <v>10838</v>
      </c>
      <c r="D49" s="77">
        <v>8476</v>
      </c>
      <c r="E49" s="77">
        <f>C49</f>
        <v>10838</v>
      </c>
      <c r="F49" s="72">
        <v>2007</v>
      </c>
    </row>
    <row r="50" spans="1:6" ht="12.75">
      <c r="A50" s="71" t="s">
        <v>97</v>
      </c>
      <c r="B50" s="149"/>
      <c r="C50" s="149">
        <f>C51</f>
        <v>7251</v>
      </c>
      <c r="D50" s="77"/>
      <c r="E50" s="77"/>
      <c r="F50" s="72"/>
    </row>
    <row r="51" spans="1:6" ht="12.75">
      <c r="A51" s="112" t="s">
        <v>98</v>
      </c>
      <c r="B51" s="77">
        <v>1743</v>
      </c>
      <c r="C51" s="77">
        <v>7251</v>
      </c>
      <c r="D51" s="77">
        <v>159640</v>
      </c>
      <c r="E51" s="77">
        <f>C51</f>
        <v>7251</v>
      </c>
      <c r="F51" s="72">
        <v>2009</v>
      </c>
    </row>
    <row r="52" spans="1:6" s="162" customFormat="1" ht="12.75">
      <c r="A52" s="160" t="s">
        <v>282</v>
      </c>
      <c r="B52" s="161"/>
      <c r="C52" s="161">
        <f>SUM(C53:C56)</f>
        <v>15074</v>
      </c>
      <c r="D52" s="113"/>
      <c r="E52" s="113"/>
      <c r="F52" s="114"/>
    </row>
    <row r="53" spans="1:6" s="162" customFormat="1" ht="12.75">
      <c r="A53" s="112" t="s">
        <v>298</v>
      </c>
      <c r="B53" s="113">
        <v>0</v>
      </c>
      <c r="C53" s="113">
        <v>1228</v>
      </c>
      <c r="D53" s="113"/>
      <c r="E53" s="113"/>
      <c r="F53" s="114"/>
    </row>
    <row r="54" spans="1:6" s="162" customFormat="1" ht="12.75">
      <c r="A54" s="112" t="s">
        <v>299</v>
      </c>
      <c r="B54" s="113">
        <v>0</v>
      </c>
      <c r="C54" s="113">
        <v>1027</v>
      </c>
      <c r="D54" s="113"/>
      <c r="E54" s="113"/>
      <c r="F54" s="114"/>
    </row>
    <row r="55" spans="1:6" s="162" customFormat="1" ht="12.75">
      <c r="A55" s="112" t="s">
        <v>300</v>
      </c>
      <c r="B55" s="113">
        <v>0</v>
      </c>
      <c r="C55" s="113">
        <v>8471</v>
      </c>
      <c r="D55" s="113"/>
      <c r="E55" s="113"/>
      <c r="F55" s="114"/>
    </row>
    <row r="56" spans="1:6" s="162" customFormat="1" ht="12.75">
      <c r="A56" s="112" t="s">
        <v>301</v>
      </c>
      <c r="B56" s="113">
        <v>0</v>
      </c>
      <c r="C56" s="113">
        <v>4348</v>
      </c>
      <c r="D56" s="113"/>
      <c r="E56" s="113"/>
      <c r="F56" s="114"/>
    </row>
    <row r="57" spans="1:6" ht="12.75">
      <c r="A57" s="71" t="s">
        <v>99</v>
      </c>
      <c r="B57" s="149"/>
      <c r="C57" s="149">
        <f>SUM(C58:C60)</f>
        <v>563</v>
      </c>
      <c r="D57" s="77"/>
      <c r="E57" s="77"/>
      <c r="F57" s="72"/>
    </row>
    <row r="58" spans="1:6" ht="12.75">
      <c r="A58" s="112" t="s">
        <v>100</v>
      </c>
      <c r="B58" s="150">
        <v>401</v>
      </c>
      <c r="C58" s="150">
        <v>401</v>
      </c>
      <c r="D58" s="77">
        <v>4087</v>
      </c>
      <c r="E58" s="77">
        <f>C58</f>
        <v>401</v>
      </c>
      <c r="F58" s="72">
        <v>2007</v>
      </c>
    </row>
    <row r="59" spans="1:6" ht="12.75">
      <c r="A59" s="112" t="s">
        <v>101</v>
      </c>
      <c r="B59" s="77">
        <v>0</v>
      </c>
      <c r="C59" s="77">
        <v>0</v>
      </c>
      <c r="D59" s="77">
        <v>500</v>
      </c>
      <c r="E59" s="77">
        <v>0</v>
      </c>
      <c r="F59" s="72">
        <v>2008</v>
      </c>
    </row>
    <row r="60" spans="1:6" ht="12.75">
      <c r="A60" s="112" t="s">
        <v>102</v>
      </c>
      <c r="B60" s="77">
        <v>4100</v>
      </c>
      <c r="C60" s="77">
        <v>162</v>
      </c>
      <c r="D60" s="77">
        <v>4100</v>
      </c>
      <c r="E60" s="77">
        <f>C60</f>
        <v>162</v>
      </c>
      <c r="F60" s="72">
        <v>2007</v>
      </c>
    </row>
    <row r="61" spans="1:6" ht="12.75">
      <c r="A61" s="71" t="s">
        <v>103</v>
      </c>
      <c r="B61" s="149"/>
      <c r="C61" s="149">
        <f>SUM(C62:C96)</f>
        <v>156136</v>
      </c>
      <c r="D61" s="77"/>
      <c r="E61" s="77"/>
      <c r="F61" s="72"/>
    </row>
    <row r="62" spans="1:6" ht="12.75">
      <c r="A62" s="151" t="s">
        <v>319</v>
      </c>
      <c r="B62" s="150">
        <v>105</v>
      </c>
      <c r="C62" s="150">
        <v>259</v>
      </c>
      <c r="D62" s="77">
        <v>105</v>
      </c>
      <c r="E62" s="77">
        <v>259</v>
      </c>
      <c r="F62" s="72">
        <v>2006</v>
      </c>
    </row>
    <row r="63" spans="1:6" ht="12.75">
      <c r="A63" s="151" t="s">
        <v>320</v>
      </c>
      <c r="B63" s="150">
        <v>80</v>
      </c>
      <c r="C63" s="150">
        <v>1010</v>
      </c>
      <c r="D63" s="77">
        <v>80</v>
      </c>
      <c r="E63" s="77">
        <v>1010</v>
      </c>
      <c r="F63" s="72">
        <v>2006</v>
      </c>
    </row>
    <row r="64" spans="1:6" ht="12.75">
      <c r="A64" s="151" t="s">
        <v>322</v>
      </c>
      <c r="B64" s="150">
        <v>15</v>
      </c>
      <c r="C64" s="150">
        <v>15</v>
      </c>
      <c r="D64" s="77">
        <v>15</v>
      </c>
      <c r="E64" s="77">
        <v>15</v>
      </c>
      <c r="F64" s="72">
        <v>2006</v>
      </c>
    </row>
    <row r="65" spans="1:6" ht="12.75">
      <c r="A65" s="151" t="s">
        <v>321</v>
      </c>
      <c r="B65" s="150">
        <v>30</v>
      </c>
      <c r="C65" s="150">
        <v>30</v>
      </c>
      <c r="D65" s="77">
        <v>30</v>
      </c>
      <c r="E65" s="77">
        <v>30</v>
      </c>
      <c r="F65" s="72">
        <v>2006</v>
      </c>
    </row>
    <row r="66" spans="1:6" ht="12.75">
      <c r="A66" s="112" t="s">
        <v>104</v>
      </c>
      <c r="B66" s="77">
        <v>7555</v>
      </c>
      <c r="C66" s="77">
        <v>6228</v>
      </c>
      <c r="D66" s="77">
        <v>61554</v>
      </c>
      <c r="E66" s="113">
        <f>C66+19740</f>
        <v>25968</v>
      </c>
      <c r="F66" s="72">
        <v>2009</v>
      </c>
    </row>
    <row r="67" spans="1:6" ht="12.75">
      <c r="A67" s="112" t="s">
        <v>105</v>
      </c>
      <c r="B67" s="77">
        <v>48862</v>
      </c>
      <c r="C67" s="77">
        <v>46757</v>
      </c>
      <c r="D67" s="77">
        <v>82459</v>
      </c>
      <c r="E67" s="77">
        <f>C67+49043</f>
        <v>95800</v>
      </c>
      <c r="F67" s="72">
        <v>2006</v>
      </c>
    </row>
    <row r="68" spans="1:6" ht="12.75">
      <c r="A68" s="112" t="s">
        <v>106</v>
      </c>
      <c r="B68" s="77">
        <v>16000</v>
      </c>
      <c r="C68" s="77">
        <v>14226</v>
      </c>
      <c r="D68" s="77">
        <v>52004</v>
      </c>
      <c r="E68" s="77">
        <f>C68+9246</f>
        <v>23472</v>
      </c>
      <c r="F68" s="72">
        <v>2007</v>
      </c>
    </row>
    <row r="69" spans="1:6" ht="12.75">
      <c r="A69" s="112" t="s">
        <v>107</v>
      </c>
      <c r="B69" s="77">
        <v>3658</v>
      </c>
      <c r="C69" s="77">
        <v>7325</v>
      </c>
      <c r="D69" s="77">
        <v>17575</v>
      </c>
      <c r="E69" s="113">
        <f>C69+13837</f>
        <v>21162</v>
      </c>
      <c r="F69" s="72">
        <v>2006</v>
      </c>
    </row>
    <row r="70" spans="1:6" ht="12.75">
      <c r="A70" s="112" t="s">
        <v>108</v>
      </c>
      <c r="B70" s="77">
        <v>9757</v>
      </c>
      <c r="C70" s="77">
        <v>4422</v>
      </c>
      <c r="D70" s="77">
        <v>60524</v>
      </c>
      <c r="E70" s="77">
        <f>C70+17825</f>
        <v>22247</v>
      </c>
      <c r="F70" s="72">
        <v>2008</v>
      </c>
    </row>
    <row r="71" spans="1:6" ht="12.75">
      <c r="A71" s="112" t="s">
        <v>109</v>
      </c>
      <c r="B71" s="77">
        <v>12600</v>
      </c>
      <c r="C71" s="77">
        <v>14934</v>
      </c>
      <c r="D71" s="77">
        <v>25247</v>
      </c>
      <c r="E71" s="77">
        <f>C71+7852</f>
        <v>22786</v>
      </c>
      <c r="F71" s="72">
        <v>2006</v>
      </c>
    </row>
    <row r="72" spans="1:6" ht="12.75">
      <c r="A72" s="112" t="s">
        <v>110</v>
      </c>
      <c r="B72" s="77">
        <v>4500</v>
      </c>
      <c r="C72" s="77">
        <v>1041</v>
      </c>
      <c r="D72" s="77">
        <v>61364</v>
      </c>
      <c r="E72" s="77">
        <f>C72+55853</f>
        <v>56894</v>
      </c>
      <c r="F72" s="72">
        <v>2006</v>
      </c>
    </row>
    <row r="73" spans="1:6" ht="12.75">
      <c r="A73" s="112" t="s">
        <v>111</v>
      </c>
      <c r="B73" s="77">
        <v>1010</v>
      </c>
      <c r="C73" s="77">
        <v>796</v>
      </c>
      <c r="D73" s="77">
        <v>114434</v>
      </c>
      <c r="E73" s="77">
        <f>C73+102921</f>
        <v>103717</v>
      </c>
      <c r="F73" s="72">
        <v>2006</v>
      </c>
    </row>
    <row r="74" spans="1:6" ht="12.75">
      <c r="A74" s="112" t="s">
        <v>112</v>
      </c>
      <c r="B74" s="77">
        <v>5747</v>
      </c>
      <c r="C74" s="77">
        <v>593</v>
      </c>
      <c r="D74" s="77">
        <v>5700</v>
      </c>
      <c r="E74" s="77">
        <f>C74</f>
        <v>593</v>
      </c>
      <c r="F74" s="72">
        <v>2007</v>
      </c>
    </row>
    <row r="75" spans="1:6" ht="12.75">
      <c r="A75" s="112" t="s">
        <v>113</v>
      </c>
      <c r="B75" s="77">
        <v>3800</v>
      </c>
      <c r="C75" s="77">
        <v>1227</v>
      </c>
      <c r="D75" s="77">
        <v>17900</v>
      </c>
      <c r="E75" s="77">
        <f>C75</f>
        <v>1227</v>
      </c>
      <c r="F75" s="114">
        <v>2007</v>
      </c>
    </row>
    <row r="76" spans="1:6" ht="12.75">
      <c r="A76" s="112" t="s">
        <v>114</v>
      </c>
      <c r="B76" s="77">
        <v>4354</v>
      </c>
      <c r="C76" s="77">
        <v>5481</v>
      </c>
      <c r="D76" s="77">
        <v>29741</v>
      </c>
      <c r="E76" s="77">
        <f>C76+15730</f>
        <v>21211</v>
      </c>
      <c r="F76" s="72">
        <v>2007</v>
      </c>
    </row>
    <row r="77" spans="1:6" ht="12.75">
      <c r="A77" s="112" t="s">
        <v>115</v>
      </c>
      <c r="B77" s="77">
        <v>419</v>
      </c>
      <c r="C77" s="77">
        <v>520</v>
      </c>
      <c r="D77" s="77">
        <v>1533</v>
      </c>
      <c r="E77" s="77">
        <f>C77+1105</f>
        <v>1625</v>
      </c>
      <c r="F77" s="72">
        <v>2006</v>
      </c>
    </row>
    <row r="78" spans="1:6" ht="12.75">
      <c r="A78" s="112" t="s">
        <v>116</v>
      </c>
      <c r="B78" s="77">
        <v>7100</v>
      </c>
      <c r="C78" s="77">
        <v>9446</v>
      </c>
      <c r="D78" s="77">
        <v>23413</v>
      </c>
      <c r="E78" s="77">
        <f>C78+13814</f>
        <v>23260</v>
      </c>
      <c r="F78" s="72">
        <v>2007</v>
      </c>
    </row>
    <row r="79" spans="1:6" ht="12.75">
      <c r="A79" s="112" t="s">
        <v>117</v>
      </c>
      <c r="B79" s="77">
        <v>1192</v>
      </c>
      <c r="C79" s="77">
        <v>1539</v>
      </c>
      <c r="D79" s="77">
        <v>1328</v>
      </c>
      <c r="E79" s="77">
        <f>C79+126</f>
        <v>1665</v>
      </c>
      <c r="F79" s="72">
        <v>2008</v>
      </c>
    </row>
    <row r="80" spans="1:6" ht="12.75">
      <c r="A80" s="112" t="s">
        <v>118</v>
      </c>
      <c r="B80" s="77">
        <v>8468</v>
      </c>
      <c r="C80" s="77">
        <v>9408</v>
      </c>
      <c r="D80" s="77">
        <v>16860</v>
      </c>
      <c r="E80" s="77">
        <f>C80+134</f>
        <v>9542</v>
      </c>
      <c r="F80" s="72">
        <v>2007</v>
      </c>
    </row>
    <row r="81" spans="1:6" ht="12.75">
      <c r="A81" s="112" t="s">
        <v>119</v>
      </c>
      <c r="B81" s="77">
        <v>290</v>
      </c>
      <c r="C81" s="77">
        <v>0</v>
      </c>
      <c r="D81" s="113">
        <f>800*1.0218</f>
        <v>817.44</v>
      </c>
      <c r="E81" s="77">
        <f>C81+521</f>
        <v>521</v>
      </c>
      <c r="F81" s="72">
        <v>2008</v>
      </c>
    </row>
    <row r="82" spans="1:6" ht="12.75">
      <c r="A82" s="112" t="s">
        <v>120</v>
      </c>
      <c r="B82" s="77">
        <v>2252.79</v>
      </c>
      <c r="C82" s="77">
        <v>2019</v>
      </c>
      <c r="D82" s="77">
        <v>4271</v>
      </c>
      <c r="E82" s="77">
        <f>C82+1975</f>
        <v>3994</v>
      </c>
      <c r="F82" s="72">
        <v>2006</v>
      </c>
    </row>
    <row r="83" spans="1:6" ht="12.75">
      <c r="A83" s="112" t="s">
        <v>121</v>
      </c>
      <c r="B83" s="77">
        <v>3010</v>
      </c>
      <c r="C83" s="77">
        <v>3416</v>
      </c>
      <c r="D83" s="77">
        <v>5436</v>
      </c>
      <c r="E83" s="77">
        <f>C83+2425</f>
        <v>5841</v>
      </c>
      <c r="F83" s="72">
        <v>2006</v>
      </c>
    </row>
    <row r="84" spans="1:6" ht="12.75">
      <c r="A84" s="112" t="s">
        <v>122</v>
      </c>
      <c r="B84" s="77">
        <v>356.86</v>
      </c>
      <c r="C84" s="77">
        <v>757</v>
      </c>
      <c r="D84" s="77">
        <v>3728</v>
      </c>
      <c r="E84" s="77">
        <f>C84+3365</f>
        <v>4122</v>
      </c>
      <c r="F84" s="72">
        <v>2006</v>
      </c>
    </row>
    <row r="85" spans="1:6" ht="12.75">
      <c r="A85" s="112" t="s">
        <v>123</v>
      </c>
      <c r="B85" s="77">
        <v>1564.83</v>
      </c>
      <c r="C85" s="77">
        <v>1802</v>
      </c>
      <c r="D85" s="77">
        <v>2726</v>
      </c>
      <c r="E85" s="77">
        <f>C85+2785</f>
        <v>4587</v>
      </c>
      <c r="F85" s="72">
        <v>2006</v>
      </c>
    </row>
    <row r="86" spans="1:6" ht="12.75">
      <c r="A86" s="112" t="s">
        <v>124</v>
      </c>
      <c r="B86" s="77">
        <v>-70.48</v>
      </c>
      <c r="C86" s="77">
        <v>-148</v>
      </c>
      <c r="D86" s="77">
        <v>1373</v>
      </c>
      <c r="E86" s="77">
        <f>C86+1451</f>
        <v>1303</v>
      </c>
      <c r="F86" s="72">
        <v>2006</v>
      </c>
    </row>
    <row r="87" spans="1:6" ht="12.75">
      <c r="A87" s="112" t="s">
        <v>125</v>
      </c>
      <c r="B87" s="77">
        <v>1400</v>
      </c>
      <c r="C87" s="77">
        <v>2400</v>
      </c>
      <c r="D87" s="77">
        <f>59373+26348</f>
        <v>85721</v>
      </c>
      <c r="E87" s="77">
        <f>C87+69741</f>
        <v>72141</v>
      </c>
      <c r="F87" s="72">
        <v>2007</v>
      </c>
    </row>
    <row r="88" spans="1:6" ht="12.75">
      <c r="A88" s="112" t="s">
        <v>126</v>
      </c>
      <c r="B88" s="77">
        <v>11590</v>
      </c>
      <c r="C88" s="77">
        <v>10473</v>
      </c>
      <c r="D88" s="77">
        <v>41551</v>
      </c>
      <c r="E88" s="77">
        <f>C88+37670</f>
        <v>48143</v>
      </c>
      <c r="F88" s="72">
        <v>2007</v>
      </c>
    </row>
    <row r="89" spans="1:6" ht="12.75">
      <c r="A89" s="112" t="s">
        <v>127</v>
      </c>
      <c r="B89" s="77">
        <v>5700</v>
      </c>
      <c r="C89" s="77">
        <v>6225</v>
      </c>
      <c r="D89" s="77">
        <v>29865</v>
      </c>
      <c r="E89" s="77">
        <f>C89+21877</f>
        <v>28102</v>
      </c>
      <c r="F89" s="72">
        <v>2007</v>
      </c>
    </row>
    <row r="90" spans="1:6" ht="12.75">
      <c r="A90" s="112" t="s">
        <v>128</v>
      </c>
      <c r="B90" s="77">
        <v>13</v>
      </c>
      <c r="C90" s="77">
        <v>0</v>
      </c>
      <c r="D90" s="77">
        <v>2992</v>
      </c>
      <c r="E90" s="113">
        <v>2529</v>
      </c>
      <c r="F90" s="72">
        <v>2006</v>
      </c>
    </row>
    <row r="91" spans="1:6" ht="12.75">
      <c r="A91" s="112" t="s">
        <v>129</v>
      </c>
      <c r="B91" s="77">
        <v>-4742</v>
      </c>
      <c r="C91" s="77">
        <v>9</v>
      </c>
      <c r="D91" s="77">
        <v>11475</v>
      </c>
      <c r="E91" s="77">
        <f>C91</f>
        <v>9</v>
      </c>
      <c r="F91" s="72">
        <v>2007</v>
      </c>
    </row>
    <row r="92" spans="1:6" ht="12.75">
      <c r="A92" s="112" t="s">
        <v>130</v>
      </c>
      <c r="B92" s="77">
        <v>-594</v>
      </c>
      <c r="C92" s="77">
        <v>893</v>
      </c>
      <c r="D92" s="77">
        <v>75019</v>
      </c>
      <c r="E92" s="77">
        <f>C92+71369</f>
        <v>72262</v>
      </c>
      <c r="F92" s="72">
        <v>2006</v>
      </c>
    </row>
    <row r="93" spans="1:6" ht="12.75">
      <c r="A93" s="112" t="s">
        <v>131</v>
      </c>
      <c r="B93" s="77">
        <v>0</v>
      </c>
      <c r="C93" s="77">
        <v>37</v>
      </c>
      <c r="D93" s="77">
        <v>1561</v>
      </c>
      <c r="E93" s="77">
        <f>C93+1918</f>
        <v>1955</v>
      </c>
      <c r="F93" s="72">
        <v>2006</v>
      </c>
    </row>
    <row r="94" spans="1:6" ht="12.75">
      <c r="A94" s="112" t="s">
        <v>132</v>
      </c>
      <c r="B94" s="77">
        <v>2049</v>
      </c>
      <c r="C94" s="77">
        <v>1363</v>
      </c>
      <c r="D94" s="77">
        <v>125947</v>
      </c>
      <c r="E94" s="77">
        <f>C94+122732</f>
        <v>124095</v>
      </c>
      <c r="F94" s="72">
        <v>2007</v>
      </c>
    </row>
    <row r="95" spans="1:6" ht="12.75">
      <c r="A95" s="112" t="s">
        <v>133</v>
      </c>
      <c r="B95" s="77">
        <v>-32</v>
      </c>
      <c r="C95" s="77">
        <v>924</v>
      </c>
      <c r="D95" s="113">
        <v>20844</v>
      </c>
      <c r="E95" s="113">
        <f>C95+20451</f>
        <v>21375</v>
      </c>
      <c r="F95" s="72">
        <v>2006</v>
      </c>
    </row>
    <row r="96" spans="1:6" ht="12.75">
      <c r="A96" s="112" t="s">
        <v>134</v>
      </c>
      <c r="B96" s="77">
        <v>-1174</v>
      </c>
      <c r="C96" s="77">
        <v>709</v>
      </c>
      <c r="D96" s="113">
        <v>3611</v>
      </c>
      <c r="E96" s="113">
        <f>C96+3550</f>
        <v>4259</v>
      </c>
      <c r="F96" s="72">
        <v>2006</v>
      </c>
    </row>
    <row r="97" spans="1:6" ht="12.75">
      <c r="A97" s="71" t="s">
        <v>135</v>
      </c>
      <c r="B97" s="149"/>
      <c r="C97" s="149">
        <f>SUM(C98:C107)</f>
        <v>2214</v>
      </c>
      <c r="D97" s="77"/>
      <c r="E97" s="77"/>
      <c r="F97" s="72"/>
    </row>
    <row r="98" spans="1:6" ht="12.75">
      <c r="A98" s="112" t="s">
        <v>111</v>
      </c>
      <c r="B98" s="77">
        <v>0</v>
      </c>
      <c r="C98" s="77">
        <v>132</v>
      </c>
      <c r="D98" s="77">
        <v>22658</v>
      </c>
      <c r="E98" s="77">
        <f>C98</f>
        <v>132</v>
      </c>
      <c r="F98" s="72">
        <v>2006</v>
      </c>
    </row>
    <row r="99" spans="1:6" ht="12.75">
      <c r="A99" s="112" t="s">
        <v>136</v>
      </c>
      <c r="B99" s="77">
        <v>0</v>
      </c>
      <c r="C99" s="77">
        <v>428</v>
      </c>
      <c r="D99" s="77">
        <v>7700</v>
      </c>
      <c r="E99" s="77">
        <f>C99</f>
        <v>428</v>
      </c>
      <c r="F99" s="72">
        <v>2007</v>
      </c>
    </row>
    <row r="100" spans="1:6" ht="12.75">
      <c r="A100" s="112" t="s">
        <v>137</v>
      </c>
      <c r="B100" s="77">
        <v>62</v>
      </c>
      <c r="C100" s="77">
        <v>70</v>
      </c>
      <c r="D100" s="77">
        <v>2673</v>
      </c>
      <c r="E100" s="77">
        <f>C100+605</f>
        <v>675</v>
      </c>
      <c r="F100" s="72">
        <v>2007</v>
      </c>
    </row>
    <row r="101" spans="1:6" ht="12.75">
      <c r="A101" s="112" t="s">
        <v>138</v>
      </c>
      <c r="B101" s="77">
        <v>-728</v>
      </c>
      <c r="C101" s="77">
        <v>0</v>
      </c>
      <c r="D101" s="77">
        <v>11343</v>
      </c>
      <c r="E101" s="77">
        <f>C101+9974</f>
        <v>9974</v>
      </c>
      <c r="F101" s="72">
        <v>2007</v>
      </c>
    </row>
    <row r="102" spans="1:6" ht="12.75">
      <c r="A102" s="87" t="s">
        <v>139</v>
      </c>
      <c r="B102" s="77">
        <v>1728</v>
      </c>
      <c r="C102" s="77">
        <v>0</v>
      </c>
      <c r="D102" s="113">
        <v>1728</v>
      </c>
      <c r="E102" s="77">
        <f>C102</f>
        <v>0</v>
      </c>
      <c r="F102" s="72">
        <v>2007</v>
      </c>
    </row>
    <row r="103" spans="1:6" ht="12.75">
      <c r="A103" s="112" t="s">
        <v>140</v>
      </c>
      <c r="B103" s="77">
        <v>-2349</v>
      </c>
      <c r="C103" s="77">
        <v>179</v>
      </c>
      <c r="D103" s="77">
        <v>9211</v>
      </c>
      <c r="E103" s="77">
        <f>C103+11168</f>
        <v>11347</v>
      </c>
      <c r="F103" s="72">
        <v>2006</v>
      </c>
    </row>
    <row r="104" spans="1:6" ht="12.75">
      <c r="A104" s="87" t="s">
        <v>141</v>
      </c>
      <c r="B104" s="77">
        <v>-179</v>
      </c>
      <c r="C104" s="77">
        <v>9</v>
      </c>
      <c r="D104" s="77">
        <v>3270</v>
      </c>
      <c r="E104" s="77">
        <f>C104+3161</f>
        <v>3170</v>
      </c>
      <c r="F104" s="72">
        <v>2007</v>
      </c>
    </row>
    <row r="105" spans="1:6" ht="12.75">
      <c r="A105" s="112" t="s">
        <v>142</v>
      </c>
      <c r="B105" s="77">
        <v>-529</v>
      </c>
      <c r="C105" s="77">
        <v>265</v>
      </c>
      <c r="D105" s="77">
        <v>24559</v>
      </c>
      <c r="E105" s="77">
        <f>C105+25064</f>
        <v>25329</v>
      </c>
      <c r="F105" s="72">
        <v>2007</v>
      </c>
    </row>
    <row r="106" spans="1:6" ht="12.75">
      <c r="A106" s="87" t="s">
        <v>143</v>
      </c>
      <c r="B106" s="77">
        <v>0</v>
      </c>
      <c r="C106" s="77">
        <v>1131</v>
      </c>
      <c r="D106" s="77">
        <v>6534</v>
      </c>
      <c r="E106" s="77">
        <f>C106</f>
        <v>1131</v>
      </c>
      <c r="F106" s="72">
        <v>2006</v>
      </c>
    </row>
    <row r="107" spans="1:6" ht="12.75">
      <c r="A107" s="87" t="s">
        <v>144</v>
      </c>
      <c r="B107" s="77">
        <v>-126</v>
      </c>
      <c r="C107" s="77">
        <v>0</v>
      </c>
      <c r="D107" s="77">
        <v>1914</v>
      </c>
      <c r="E107" s="77">
        <f>C107+2003</f>
        <v>2003</v>
      </c>
      <c r="F107" s="72">
        <v>2007</v>
      </c>
    </row>
    <row r="108" spans="1:6" ht="12.75">
      <c r="A108" s="71" t="s">
        <v>145</v>
      </c>
      <c r="B108" s="149"/>
      <c r="C108" s="149">
        <f>SUM(C109:C117)</f>
        <v>9645</v>
      </c>
      <c r="D108" s="77"/>
      <c r="E108" s="77"/>
      <c r="F108" s="72"/>
    </row>
    <row r="109" spans="1:6" ht="12.75">
      <c r="A109" s="154" t="s">
        <v>287</v>
      </c>
      <c r="B109" s="150">
        <v>6346</v>
      </c>
      <c r="C109" s="150">
        <v>0</v>
      </c>
      <c r="D109" s="77"/>
      <c r="E109" s="77"/>
      <c r="F109" s="72"/>
    </row>
    <row r="110" spans="1:6" ht="12.75">
      <c r="A110" s="154" t="s">
        <v>323</v>
      </c>
      <c r="B110" s="150">
        <v>0</v>
      </c>
      <c r="C110" s="150">
        <v>1319</v>
      </c>
      <c r="D110" s="77">
        <v>0</v>
      </c>
      <c r="E110" s="77">
        <v>1319</v>
      </c>
      <c r="F110" s="72">
        <v>2006</v>
      </c>
    </row>
    <row r="111" spans="1:6" ht="12.75">
      <c r="A111" s="112" t="s">
        <v>146</v>
      </c>
      <c r="B111" s="77">
        <v>4523</v>
      </c>
      <c r="C111" s="77">
        <v>4679</v>
      </c>
      <c r="D111" s="77">
        <v>6948</v>
      </c>
      <c r="E111" s="77">
        <f>C111+2356</f>
        <v>7035</v>
      </c>
      <c r="F111" s="72">
        <v>2006</v>
      </c>
    </row>
    <row r="112" spans="1:6" ht="12.75">
      <c r="A112" s="112" t="s">
        <v>137</v>
      </c>
      <c r="B112" s="77">
        <v>709</v>
      </c>
      <c r="C112" s="77">
        <v>743</v>
      </c>
      <c r="D112" s="77">
        <v>22974</v>
      </c>
      <c r="E112" s="77">
        <f>C112+1868</f>
        <v>2611</v>
      </c>
      <c r="F112" s="72">
        <v>2007</v>
      </c>
    </row>
    <row r="113" spans="1:6" ht="12.75">
      <c r="A113" s="112" t="s">
        <v>147</v>
      </c>
      <c r="B113" s="77">
        <v>1750</v>
      </c>
      <c r="C113" s="77">
        <v>1900</v>
      </c>
      <c r="D113" s="77">
        <v>1900</v>
      </c>
      <c r="E113" s="77">
        <f>C113</f>
        <v>1900</v>
      </c>
      <c r="F113" s="72">
        <v>2006</v>
      </c>
    </row>
    <row r="114" spans="1:6" ht="12.75">
      <c r="A114" s="112" t="s">
        <v>148</v>
      </c>
      <c r="B114" s="77">
        <v>200</v>
      </c>
      <c r="C114" s="77">
        <v>176</v>
      </c>
      <c r="D114" s="77">
        <v>1635</v>
      </c>
      <c r="E114" s="77">
        <f>C114</f>
        <v>176</v>
      </c>
      <c r="F114" s="72">
        <v>2007</v>
      </c>
    </row>
    <row r="115" spans="1:6" ht="12.75">
      <c r="A115" s="112" t="s">
        <v>149</v>
      </c>
      <c r="B115" s="77">
        <v>1800</v>
      </c>
      <c r="C115" s="77">
        <v>782</v>
      </c>
      <c r="D115" s="77">
        <v>19251</v>
      </c>
      <c r="E115" s="77">
        <f>C115+16922</f>
        <v>17704</v>
      </c>
      <c r="F115" s="72">
        <v>2007</v>
      </c>
    </row>
    <row r="116" spans="1:6" ht="12.75">
      <c r="A116" s="112" t="s">
        <v>324</v>
      </c>
      <c r="B116" s="77">
        <v>48</v>
      </c>
      <c r="C116" s="77">
        <v>46</v>
      </c>
      <c r="D116" s="77">
        <v>4700</v>
      </c>
      <c r="E116" s="77">
        <v>5200</v>
      </c>
      <c r="F116" s="72">
        <v>2007</v>
      </c>
    </row>
    <row r="117" spans="1:6" ht="12.75">
      <c r="A117" s="112" t="s">
        <v>150</v>
      </c>
      <c r="B117" s="77">
        <v>-309</v>
      </c>
      <c r="C117" s="77">
        <v>0</v>
      </c>
      <c r="D117" s="77">
        <v>10607</v>
      </c>
      <c r="E117" s="77">
        <f>C117+5561</f>
        <v>5561</v>
      </c>
      <c r="F117" s="72">
        <v>2006</v>
      </c>
    </row>
    <row r="118" spans="1:6" ht="12.75">
      <c r="A118" s="71" t="s">
        <v>151</v>
      </c>
      <c r="B118" s="149"/>
      <c r="C118" s="149">
        <f>SUM(C119)</f>
        <v>800</v>
      </c>
      <c r="D118" s="77"/>
      <c r="E118" s="77"/>
      <c r="F118" s="72"/>
    </row>
    <row r="119" spans="1:6" ht="12.75">
      <c r="A119" s="112" t="s">
        <v>152</v>
      </c>
      <c r="B119" s="77">
        <v>-1028</v>
      </c>
      <c r="C119" s="77">
        <v>800</v>
      </c>
      <c r="D119" s="77">
        <v>37648</v>
      </c>
      <c r="E119" s="77">
        <f>C119+40822</f>
        <v>41622</v>
      </c>
      <c r="F119" s="72">
        <v>2006</v>
      </c>
    </row>
    <row r="120" spans="1:6" ht="12.75">
      <c r="A120" s="71" t="s">
        <v>153</v>
      </c>
      <c r="B120" s="149"/>
      <c r="C120" s="149">
        <f>SUM(C121:C122)</f>
        <v>114856</v>
      </c>
      <c r="D120" s="77"/>
      <c r="E120" s="77"/>
      <c r="F120" s="72"/>
    </row>
    <row r="121" spans="1:6" ht="12.75">
      <c r="A121" s="112" t="s">
        <v>154</v>
      </c>
      <c r="B121" s="77">
        <v>180933</v>
      </c>
      <c r="C121" s="77">
        <v>114823</v>
      </c>
      <c r="D121" s="77">
        <v>272447</v>
      </c>
      <c r="E121" s="77">
        <f>C121+115171</f>
        <v>229994</v>
      </c>
      <c r="F121" s="72">
        <v>2007</v>
      </c>
    </row>
    <row r="122" spans="1:6" ht="12.75">
      <c r="A122" s="152" t="s">
        <v>286</v>
      </c>
      <c r="B122" s="153">
        <v>669</v>
      </c>
      <c r="C122" s="153">
        <v>33</v>
      </c>
      <c r="D122" s="153">
        <v>669</v>
      </c>
      <c r="E122" s="153">
        <v>33</v>
      </c>
      <c r="F122" s="77"/>
    </row>
    <row r="123" spans="1:6" ht="12.75">
      <c r="A123" s="71" t="s">
        <v>155</v>
      </c>
      <c r="B123" s="149"/>
      <c r="C123" s="149">
        <f>SUM(C124)</f>
        <v>1438</v>
      </c>
      <c r="D123" s="77"/>
      <c r="E123" s="77"/>
      <c r="F123" s="72"/>
    </row>
    <row r="124" spans="1:6" ht="12.75">
      <c r="A124" s="112" t="s">
        <v>156</v>
      </c>
      <c r="B124" s="77">
        <v>1290</v>
      </c>
      <c r="C124" s="77">
        <v>1438</v>
      </c>
      <c r="D124" s="77">
        <v>1300</v>
      </c>
      <c r="E124" s="77">
        <f>C124</f>
        <v>1438</v>
      </c>
      <c r="F124" s="72">
        <v>2006</v>
      </c>
    </row>
    <row r="125" spans="1:6" ht="12.75">
      <c r="A125" s="71" t="s">
        <v>157</v>
      </c>
      <c r="B125" s="149"/>
      <c r="C125" s="149">
        <f>SUM(C126)</f>
        <v>8323</v>
      </c>
      <c r="D125" s="77"/>
      <c r="E125" s="77"/>
      <c r="F125" s="72"/>
    </row>
    <row r="126" spans="1:6" ht="12.75">
      <c r="A126" s="112" t="s">
        <v>158</v>
      </c>
      <c r="B126" s="77">
        <v>9474</v>
      </c>
      <c r="C126" s="77">
        <v>8323</v>
      </c>
      <c r="D126" s="77">
        <v>11633</v>
      </c>
      <c r="E126" s="77">
        <f>C126+2083</f>
        <v>10406</v>
      </c>
      <c r="F126" s="72">
        <v>2007</v>
      </c>
    </row>
    <row r="127" spans="1:6" ht="12.75">
      <c r="A127" s="71" t="s">
        <v>159</v>
      </c>
      <c r="B127" s="149"/>
      <c r="C127" s="149">
        <f>SUM(C128)</f>
        <v>763</v>
      </c>
      <c r="D127" s="77"/>
      <c r="E127" s="77"/>
      <c r="F127" s="72"/>
    </row>
    <row r="128" spans="1:6" ht="12.75">
      <c r="A128" s="112" t="s">
        <v>160</v>
      </c>
      <c r="B128" s="77">
        <v>1133</v>
      </c>
      <c r="C128" s="77">
        <v>763</v>
      </c>
      <c r="D128" s="77">
        <v>1357</v>
      </c>
      <c r="E128" s="77">
        <f>C128</f>
        <v>763</v>
      </c>
      <c r="F128" s="72">
        <v>2007</v>
      </c>
    </row>
    <row r="129" spans="1:6" ht="12.75">
      <c r="A129" s="71" t="s">
        <v>161</v>
      </c>
      <c r="B129" s="149"/>
      <c r="C129" s="149">
        <f>SUM(C130)</f>
        <v>53</v>
      </c>
      <c r="D129" s="77"/>
      <c r="E129" s="77"/>
      <c r="F129" s="72"/>
    </row>
    <row r="130" spans="1:6" ht="12.75">
      <c r="A130" s="112" t="s">
        <v>162</v>
      </c>
      <c r="B130" s="77">
        <v>200</v>
      </c>
      <c r="C130" s="77">
        <v>53</v>
      </c>
      <c r="D130" s="77">
        <v>19459</v>
      </c>
      <c r="E130" s="77">
        <f>C130+15050</f>
        <v>15103</v>
      </c>
      <c r="F130" s="72">
        <v>2007</v>
      </c>
    </row>
    <row r="131" spans="1:6" ht="12.75">
      <c r="A131" s="71" t="s">
        <v>163</v>
      </c>
      <c r="B131" s="149"/>
      <c r="C131" s="149">
        <f>SUM(C132:C163)</f>
        <v>27247</v>
      </c>
      <c r="D131" s="77"/>
      <c r="E131" s="77"/>
      <c r="F131" s="72"/>
    </row>
    <row r="132" spans="1:6" ht="12.75">
      <c r="A132" s="112" t="s">
        <v>283</v>
      </c>
      <c r="B132" s="150"/>
      <c r="C132" s="150">
        <v>1589</v>
      </c>
      <c r="D132" s="77"/>
      <c r="E132" s="77"/>
      <c r="F132" s="72"/>
    </row>
    <row r="133" spans="1:6" ht="12.75">
      <c r="A133" s="112" t="s">
        <v>164</v>
      </c>
      <c r="B133" s="77">
        <v>3343</v>
      </c>
      <c r="C133" s="77">
        <v>0</v>
      </c>
      <c r="D133" s="77">
        <v>3807</v>
      </c>
      <c r="E133" s="77">
        <f>C133</f>
        <v>0</v>
      </c>
      <c r="F133" s="72">
        <v>2007</v>
      </c>
    </row>
    <row r="134" spans="1:6" ht="12.75">
      <c r="A134" s="112" t="s">
        <v>165</v>
      </c>
      <c r="B134" s="77">
        <v>6158</v>
      </c>
      <c r="C134" s="77">
        <v>0</v>
      </c>
      <c r="D134" s="77">
        <v>6642</v>
      </c>
      <c r="E134" s="77">
        <f>C134+94</f>
        <v>94</v>
      </c>
      <c r="F134" s="72">
        <v>2007</v>
      </c>
    </row>
    <row r="135" spans="1:6" ht="12.75">
      <c r="A135" s="112" t="s">
        <v>166</v>
      </c>
      <c r="B135" s="77">
        <v>4412</v>
      </c>
      <c r="C135" s="77">
        <v>4070</v>
      </c>
      <c r="D135" s="77">
        <v>15383</v>
      </c>
      <c r="E135" s="77">
        <f>C135+9937</f>
        <v>14007</v>
      </c>
      <c r="F135" s="72">
        <v>2006</v>
      </c>
    </row>
    <row r="136" spans="1:6" ht="12.75">
      <c r="A136" s="112" t="s">
        <v>167</v>
      </c>
      <c r="B136" s="77">
        <v>8863</v>
      </c>
      <c r="C136" s="77">
        <v>9193</v>
      </c>
      <c r="D136" s="77">
        <v>11105</v>
      </c>
      <c r="E136" s="77">
        <f>C136</f>
        <v>9193</v>
      </c>
      <c r="F136" s="72">
        <v>2006</v>
      </c>
    </row>
    <row r="137" spans="1:6" ht="12.75">
      <c r="A137" s="112" t="s">
        <v>168</v>
      </c>
      <c r="B137" s="77">
        <v>22245.955</v>
      </c>
      <c r="C137" s="77">
        <v>226</v>
      </c>
      <c r="D137" s="77">
        <v>22821</v>
      </c>
      <c r="E137" s="77">
        <f>C137</f>
        <v>226</v>
      </c>
      <c r="F137" s="72">
        <v>2008</v>
      </c>
    </row>
    <row r="138" spans="1:6" ht="12.75">
      <c r="A138" s="112" t="s">
        <v>169</v>
      </c>
      <c r="B138" s="77">
        <v>11955</v>
      </c>
      <c r="C138" s="77">
        <v>6113</v>
      </c>
      <c r="D138" s="77">
        <v>15532</v>
      </c>
      <c r="E138" s="77">
        <f>C138+3063</f>
        <v>9176</v>
      </c>
      <c r="F138" s="72">
        <v>2007</v>
      </c>
    </row>
    <row r="139" spans="1:6" ht="12.75">
      <c r="A139" s="112" t="s">
        <v>170</v>
      </c>
      <c r="B139" s="77">
        <v>197</v>
      </c>
      <c r="C139" s="77">
        <v>295</v>
      </c>
      <c r="D139" s="77">
        <v>627</v>
      </c>
      <c r="E139" s="77">
        <f>C139</f>
        <v>295</v>
      </c>
      <c r="F139" s="72">
        <v>2006</v>
      </c>
    </row>
    <row r="140" spans="1:6" ht="12.75">
      <c r="A140" s="112" t="s">
        <v>171</v>
      </c>
      <c r="B140" s="77">
        <v>18</v>
      </c>
      <c r="C140" s="77">
        <v>43</v>
      </c>
      <c r="D140" s="77">
        <v>21028</v>
      </c>
      <c r="E140" s="77">
        <f>C140+20065</f>
        <v>20108</v>
      </c>
      <c r="F140" s="72">
        <v>2006</v>
      </c>
    </row>
    <row r="141" spans="1:6" ht="12.75">
      <c r="A141" s="112" t="s">
        <v>172</v>
      </c>
      <c r="B141" s="77">
        <v>270</v>
      </c>
      <c r="C141" s="77">
        <v>339</v>
      </c>
      <c r="D141" s="77">
        <v>2839</v>
      </c>
      <c r="E141" s="77">
        <f>C141+2563</f>
        <v>2902</v>
      </c>
      <c r="F141" s="72">
        <v>2006</v>
      </c>
    </row>
    <row r="142" spans="1:6" ht="12.75">
      <c r="A142" s="112" t="s">
        <v>173</v>
      </c>
      <c r="B142" s="77">
        <v>10</v>
      </c>
      <c r="C142" s="77">
        <v>0</v>
      </c>
      <c r="D142" s="77">
        <v>5435</v>
      </c>
      <c r="E142" s="77">
        <f>C142+4995</f>
        <v>4995</v>
      </c>
      <c r="F142" s="72">
        <v>2006</v>
      </c>
    </row>
    <row r="143" spans="1:6" ht="12.75">
      <c r="A143" s="112" t="s">
        <v>174</v>
      </c>
      <c r="B143" s="77">
        <v>2</v>
      </c>
      <c r="C143" s="77">
        <v>12</v>
      </c>
      <c r="D143" s="77">
        <v>3503</v>
      </c>
      <c r="E143" s="77">
        <f>C143+3159</f>
        <v>3171</v>
      </c>
      <c r="F143" s="72">
        <v>2006</v>
      </c>
    </row>
    <row r="144" spans="1:6" ht="12.75">
      <c r="A144" s="112" t="s">
        <v>175</v>
      </c>
      <c r="B144" s="77">
        <v>4</v>
      </c>
      <c r="C144" s="77">
        <v>15</v>
      </c>
      <c r="D144" s="77">
        <v>5784</v>
      </c>
      <c r="E144" s="77">
        <f>C144+4439</f>
        <v>4454</v>
      </c>
      <c r="F144" s="72">
        <v>2006</v>
      </c>
    </row>
    <row r="145" spans="1:6" ht="12.75">
      <c r="A145" s="112" t="s">
        <v>176</v>
      </c>
      <c r="B145" s="77">
        <v>6</v>
      </c>
      <c r="C145" s="77">
        <v>0</v>
      </c>
      <c r="D145" s="77">
        <v>7947</v>
      </c>
      <c r="E145" s="77">
        <f>C145+5999</f>
        <v>5999</v>
      </c>
      <c r="F145" s="72">
        <v>2006</v>
      </c>
    </row>
    <row r="146" spans="1:6" ht="12.75">
      <c r="A146" s="112" t="s">
        <v>177</v>
      </c>
      <c r="B146" s="77">
        <v>12</v>
      </c>
      <c r="C146" s="77">
        <v>12</v>
      </c>
      <c r="D146" s="77">
        <v>11752</v>
      </c>
      <c r="E146" s="77">
        <f>C146+10732</f>
        <v>10744</v>
      </c>
      <c r="F146" s="72">
        <v>2006</v>
      </c>
    </row>
    <row r="147" spans="1:6" ht="12.75">
      <c r="A147" s="112" t="s">
        <v>178</v>
      </c>
      <c r="B147" s="77">
        <v>2</v>
      </c>
      <c r="C147" s="77">
        <v>0</v>
      </c>
      <c r="D147" s="77">
        <v>2021</v>
      </c>
      <c r="E147" s="77">
        <f>C147+1943</f>
        <v>1943</v>
      </c>
      <c r="F147" s="72">
        <v>2006</v>
      </c>
    </row>
    <row r="148" spans="1:6" ht="12.75">
      <c r="A148" s="112" t="s">
        <v>179</v>
      </c>
      <c r="B148" s="77">
        <v>8</v>
      </c>
      <c r="C148" s="77">
        <v>48</v>
      </c>
      <c r="D148" s="77">
        <v>6556</v>
      </c>
      <c r="E148" s="77">
        <f>C148+7049</f>
        <v>7097</v>
      </c>
      <c r="F148" s="72">
        <v>2006</v>
      </c>
    </row>
    <row r="149" spans="1:6" ht="12.75">
      <c r="A149" s="112" t="s">
        <v>180</v>
      </c>
      <c r="B149" s="77">
        <v>278</v>
      </c>
      <c r="C149" s="77">
        <v>251</v>
      </c>
      <c r="D149" s="77">
        <v>15338</v>
      </c>
      <c r="E149" s="77">
        <f>C149+1613</f>
        <v>1864</v>
      </c>
      <c r="F149" s="72">
        <v>2006</v>
      </c>
    </row>
    <row r="150" spans="1:6" ht="12.75">
      <c r="A150" s="112" t="s">
        <v>181</v>
      </c>
      <c r="B150" s="77">
        <v>877</v>
      </c>
      <c r="C150" s="77">
        <v>348</v>
      </c>
      <c r="D150" s="77">
        <v>24642</v>
      </c>
      <c r="E150" s="77">
        <f>C150+20369</f>
        <v>20717</v>
      </c>
      <c r="F150" s="72">
        <v>2006</v>
      </c>
    </row>
    <row r="151" spans="1:6" ht="12.75">
      <c r="A151" s="112" t="s">
        <v>182</v>
      </c>
      <c r="B151" s="77">
        <v>15</v>
      </c>
      <c r="C151" s="77">
        <v>10</v>
      </c>
      <c r="D151" s="77">
        <v>13736</v>
      </c>
      <c r="E151" s="77">
        <f>C151+4946</f>
        <v>4956</v>
      </c>
      <c r="F151" s="72">
        <v>2006</v>
      </c>
    </row>
    <row r="152" spans="1:6" ht="12.75">
      <c r="A152" s="112" t="s">
        <v>183</v>
      </c>
      <c r="B152" s="77">
        <v>874</v>
      </c>
      <c r="C152" s="77">
        <v>250</v>
      </c>
      <c r="D152" s="77">
        <v>17618</v>
      </c>
      <c r="E152" s="77">
        <f>C152+14374</f>
        <v>14624</v>
      </c>
      <c r="F152" s="72">
        <v>2006</v>
      </c>
    </row>
    <row r="153" spans="1:6" ht="12.75">
      <c r="A153" s="112" t="s">
        <v>184</v>
      </c>
      <c r="B153" s="77">
        <v>8</v>
      </c>
      <c r="C153" s="77">
        <v>8</v>
      </c>
      <c r="D153" s="77">
        <v>8742</v>
      </c>
      <c r="E153" s="77">
        <f>C153+9030</f>
        <v>9038</v>
      </c>
      <c r="F153" s="72">
        <v>2006</v>
      </c>
    </row>
    <row r="154" spans="1:6" ht="12.75">
      <c r="A154" s="112" t="s">
        <v>185</v>
      </c>
      <c r="B154" s="77">
        <v>12</v>
      </c>
      <c r="C154" s="77">
        <v>13</v>
      </c>
      <c r="D154" s="77">
        <v>12358</v>
      </c>
      <c r="E154" s="77">
        <f>C154+13529</f>
        <v>13542</v>
      </c>
      <c r="F154" s="72">
        <v>2006</v>
      </c>
    </row>
    <row r="155" spans="1:6" ht="12.75">
      <c r="A155" s="112" t="s">
        <v>186</v>
      </c>
      <c r="B155" s="77">
        <v>212</v>
      </c>
      <c r="C155" s="77">
        <v>212</v>
      </c>
      <c r="D155" s="77">
        <v>212</v>
      </c>
      <c r="E155" s="77">
        <f>C155</f>
        <v>212</v>
      </c>
      <c r="F155" s="72">
        <v>2006</v>
      </c>
    </row>
    <row r="156" spans="1:6" ht="12.75">
      <c r="A156" s="112" t="s">
        <v>187</v>
      </c>
      <c r="B156" s="77">
        <v>1800</v>
      </c>
      <c r="C156" s="77">
        <v>1786</v>
      </c>
      <c r="D156" s="77">
        <v>4631</v>
      </c>
      <c r="E156" s="77">
        <f>C156+2427</f>
        <v>4213</v>
      </c>
      <c r="F156" s="72">
        <v>2007</v>
      </c>
    </row>
    <row r="157" spans="1:6" ht="12.75">
      <c r="A157" s="112" t="s">
        <v>188</v>
      </c>
      <c r="B157" s="77">
        <v>5</v>
      </c>
      <c r="C157" s="77">
        <v>0</v>
      </c>
      <c r="D157" s="77">
        <v>2978</v>
      </c>
      <c r="E157" s="77">
        <f>C157+3692</f>
        <v>3692</v>
      </c>
      <c r="F157" s="72">
        <v>2006</v>
      </c>
    </row>
    <row r="158" spans="1:6" ht="12.75">
      <c r="A158" s="112" t="s">
        <v>189</v>
      </c>
      <c r="B158" s="77">
        <v>1368</v>
      </c>
      <c r="C158" s="77">
        <v>190</v>
      </c>
      <c r="D158" s="77">
        <v>1578</v>
      </c>
      <c r="E158" s="77">
        <f>C158</f>
        <v>190</v>
      </c>
      <c r="F158" s="72">
        <v>2007</v>
      </c>
    </row>
    <row r="159" spans="1:6" ht="12.75">
      <c r="A159" s="112" t="s">
        <v>190</v>
      </c>
      <c r="B159" s="77">
        <v>235</v>
      </c>
      <c r="C159" s="77">
        <v>236</v>
      </c>
      <c r="D159" s="77">
        <v>327</v>
      </c>
      <c r="E159" s="77">
        <f>C159</f>
        <v>236</v>
      </c>
      <c r="F159" s="72">
        <v>2007</v>
      </c>
    </row>
    <row r="160" spans="1:6" ht="12.75">
      <c r="A160" s="112" t="s">
        <v>191</v>
      </c>
      <c r="B160" s="77">
        <v>185</v>
      </c>
      <c r="C160" s="77">
        <v>195</v>
      </c>
      <c r="D160" s="77">
        <v>15035</v>
      </c>
      <c r="E160" s="77">
        <f>C160+12792</f>
        <v>12987</v>
      </c>
      <c r="F160" s="72">
        <v>2006</v>
      </c>
    </row>
    <row r="161" spans="1:6" ht="12.75">
      <c r="A161" s="112" t="s">
        <v>192</v>
      </c>
      <c r="B161" s="77">
        <v>40</v>
      </c>
      <c r="C161" s="77">
        <v>46</v>
      </c>
      <c r="D161" s="77">
        <v>16846</v>
      </c>
      <c r="E161" s="77">
        <f>C161+13096</f>
        <v>13142</v>
      </c>
      <c r="F161" s="114">
        <v>2006</v>
      </c>
    </row>
    <row r="162" spans="1:6" ht="12.75">
      <c r="A162" s="112" t="s">
        <v>193</v>
      </c>
      <c r="B162" s="77">
        <v>25</v>
      </c>
      <c r="C162" s="77">
        <v>36</v>
      </c>
      <c r="D162" s="77">
        <v>11167</v>
      </c>
      <c r="E162" s="77">
        <f>C162+11193</f>
        <v>11229</v>
      </c>
      <c r="F162" s="72">
        <v>2006</v>
      </c>
    </row>
    <row r="163" spans="1:6" ht="12.75">
      <c r="A163" s="112" t="s">
        <v>194</v>
      </c>
      <c r="B163" s="77">
        <v>3360</v>
      </c>
      <c r="C163" s="77">
        <v>1711</v>
      </c>
      <c r="D163" s="77">
        <v>3540</v>
      </c>
      <c r="E163" s="77">
        <f>C163</f>
        <v>1711</v>
      </c>
      <c r="F163" s="72">
        <v>2007</v>
      </c>
    </row>
    <row r="164" spans="1:6" ht="12.75">
      <c r="A164" s="71" t="s">
        <v>195</v>
      </c>
      <c r="B164" s="149"/>
      <c r="C164" s="149">
        <f>SUM(C165:C173)</f>
        <v>14635</v>
      </c>
      <c r="D164" s="77"/>
      <c r="E164" s="77"/>
      <c r="F164" s="72"/>
    </row>
    <row r="165" spans="1:6" ht="12.75">
      <c r="A165" s="154" t="s">
        <v>325</v>
      </c>
      <c r="B165" s="150">
        <v>53</v>
      </c>
      <c r="C165" s="150">
        <v>53</v>
      </c>
      <c r="D165" s="77">
        <v>53</v>
      </c>
      <c r="E165" s="77">
        <v>53</v>
      </c>
      <c r="F165" s="72">
        <v>2006</v>
      </c>
    </row>
    <row r="166" spans="1:6" ht="12.75">
      <c r="A166" s="112" t="s">
        <v>104</v>
      </c>
      <c r="B166" s="77">
        <v>200</v>
      </c>
      <c r="C166" s="77">
        <v>624</v>
      </c>
      <c r="D166" s="77">
        <v>208</v>
      </c>
      <c r="E166" s="77">
        <f>C166</f>
        <v>624</v>
      </c>
      <c r="F166" s="72">
        <v>2006</v>
      </c>
    </row>
    <row r="167" spans="1:6" ht="12.75">
      <c r="A167" s="112" t="s">
        <v>106</v>
      </c>
      <c r="B167" s="77">
        <v>0</v>
      </c>
      <c r="C167" s="77">
        <v>2111</v>
      </c>
      <c r="D167" s="77">
        <v>8741</v>
      </c>
      <c r="E167" s="77">
        <f>C167+2318</f>
        <v>4429</v>
      </c>
      <c r="F167" s="72">
        <v>2006</v>
      </c>
    </row>
    <row r="168" spans="1:6" ht="12.75">
      <c r="A168" s="112" t="s">
        <v>196</v>
      </c>
      <c r="B168" s="77">
        <v>2900</v>
      </c>
      <c r="C168" s="77">
        <v>7424</v>
      </c>
      <c r="D168" s="77">
        <v>7000</v>
      </c>
      <c r="E168" s="77">
        <f>C168</f>
        <v>7424</v>
      </c>
      <c r="F168" s="72">
        <v>2006</v>
      </c>
    </row>
    <row r="169" spans="1:6" ht="12.75">
      <c r="A169" s="112" t="s">
        <v>197</v>
      </c>
      <c r="B169" s="77">
        <v>5600</v>
      </c>
      <c r="C169" s="77">
        <v>3271</v>
      </c>
      <c r="D169" s="77">
        <v>6300</v>
      </c>
      <c r="E169" s="77">
        <f>C169</f>
        <v>3271</v>
      </c>
      <c r="F169" s="72">
        <v>2007</v>
      </c>
    </row>
    <row r="170" spans="1:6" ht="12.75">
      <c r="A170" s="112" t="s">
        <v>198</v>
      </c>
      <c r="B170" s="77">
        <v>-121</v>
      </c>
      <c r="C170" s="77">
        <v>0</v>
      </c>
      <c r="D170" s="77">
        <v>4110</v>
      </c>
      <c r="E170" s="77">
        <f>C170+4229</f>
        <v>4229</v>
      </c>
      <c r="F170" s="72">
        <v>2006</v>
      </c>
    </row>
    <row r="171" spans="1:6" ht="12.75">
      <c r="A171" s="115" t="s">
        <v>199</v>
      </c>
      <c r="B171" s="77">
        <v>9082</v>
      </c>
      <c r="C171" s="77">
        <v>996</v>
      </c>
      <c r="D171" s="77">
        <v>16874</v>
      </c>
      <c r="E171" s="77">
        <f>C171+14597</f>
        <v>15593</v>
      </c>
      <c r="F171" s="72">
        <v>2006</v>
      </c>
    </row>
    <row r="172" spans="1:6" ht="12.75">
      <c r="A172" s="112" t="s">
        <v>200</v>
      </c>
      <c r="B172" s="77">
        <v>0</v>
      </c>
      <c r="C172" s="77">
        <v>154</v>
      </c>
      <c r="D172" s="77">
        <v>6335</v>
      </c>
      <c r="E172" s="77">
        <f>C172+5505</f>
        <v>5659</v>
      </c>
      <c r="F172" s="72">
        <v>2006</v>
      </c>
    </row>
    <row r="173" spans="1:6" ht="12.75">
      <c r="A173" s="112" t="s">
        <v>108</v>
      </c>
      <c r="B173" s="77">
        <v>65</v>
      </c>
      <c r="C173" s="77">
        <v>2</v>
      </c>
      <c r="D173" s="77">
        <v>509</v>
      </c>
      <c r="E173" s="77">
        <f>C173+421</f>
        <v>423</v>
      </c>
      <c r="F173" s="72">
        <v>2008</v>
      </c>
    </row>
    <row r="174" spans="1:6" ht="12.75">
      <c r="A174" s="71" t="s">
        <v>201</v>
      </c>
      <c r="B174" s="149"/>
      <c r="C174" s="149">
        <f>SUM(C175:C183)</f>
        <v>893</v>
      </c>
      <c r="D174" s="77"/>
      <c r="E174" s="77"/>
      <c r="F174" s="72"/>
    </row>
    <row r="175" spans="1:6" ht="12.75">
      <c r="A175" s="154" t="s">
        <v>326</v>
      </c>
      <c r="B175" s="150">
        <v>23</v>
      </c>
      <c r="C175" s="150">
        <v>23</v>
      </c>
      <c r="D175" s="77">
        <v>23</v>
      </c>
      <c r="E175" s="77">
        <v>23</v>
      </c>
      <c r="F175" s="72">
        <v>2006</v>
      </c>
    </row>
    <row r="176" spans="1:6" ht="12.75">
      <c r="A176" s="112" t="s">
        <v>110</v>
      </c>
      <c r="B176" s="77">
        <v>-142</v>
      </c>
      <c r="C176" s="77">
        <v>173</v>
      </c>
      <c r="D176" s="77">
        <v>4254</v>
      </c>
      <c r="E176" s="77">
        <f>C176+4419</f>
        <v>4592</v>
      </c>
      <c r="F176" s="72">
        <v>2006</v>
      </c>
    </row>
    <row r="177" spans="1:6" ht="12.75">
      <c r="A177" s="112" t="s">
        <v>202</v>
      </c>
      <c r="B177" s="77">
        <v>6</v>
      </c>
      <c r="C177" s="77">
        <v>-216</v>
      </c>
      <c r="D177" s="77">
        <v>10369</v>
      </c>
      <c r="E177" s="77">
        <f>C177+8048</f>
        <v>7832</v>
      </c>
      <c r="F177" s="72">
        <v>2007</v>
      </c>
    </row>
    <row r="178" spans="1:6" ht="12.75">
      <c r="A178" s="112" t="s">
        <v>203</v>
      </c>
      <c r="B178" s="77">
        <v>738</v>
      </c>
      <c r="C178" s="77">
        <v>737</v>
      </c>
      <c r="D178" s="77">
        <v>20500</v>
      </c>
      <c r="E178" s="77">
        <f>C178+6283</f>
        <v>7020</v>
      </c>
      <c r="F178" s="72">
        <v>2007</v>
      </c>
    </row>
    <row r="179" spans="1:6" ht="12.75">
      <c r="A179" s="112" t="s">
        <v>204</v>
      </c>
      <c r="B179" s="77">
        <v>107</v>
      </c>
      <c r="C179" s="77">
        <v>16</v>
      </c>
      <c r="D179" s="77">
        <v>6455</v>
      </c>
      <c r="E179" s="77">
        <f>C179+6293</f>
        <v>6309</v>
      </c>
      <c r="F179" s="72">
        <v>2007</v>
      </c>
    </row>
    <row r="180" spans="1:6" ht="12.75">
      <c r="A180" s="112" t="s">
        <v>205</v>
      </c>
      <c r="B180" s="77">
        <v>0</v>
      </c>
      <c r="C180" s="77">
        <f>63+39</f>
        <v>102</v>
      </c>
      <c r="D180" s="77">
        <v>2497</v>
      </c>
      <c r="E180" s="77">
        <f>C180+2087</f>
        <v>2189</v>
      </c>
      <c r="F180" s="72">
        <v>2007</v>
      </c>
    </row>
    <row r="181" spans="1:6" ht="12.75">
      <c r="A181" s="112" t="s">
        <v>206</v>
      </c>
      <c r="B181" s="77">
        <v>-10192</v>
      </c>
      <c r="C181" s="77">
        <v>0</v>
      </c>
      <c r="D181" s="77">
        <v>2947</v>
      </c>
      <c r="E181" s="77">
        <f>C181</f>
        <v>0</v>
      </c>
      <c r="F181" s="72">
        <v>2006</v>
      </c>
    </row>
    <row r="182" spans="1:6" ht="12.75">
      <c r="A182" s="112" t="s">
        <v>207</v>
      </c>
      <c r="B182" s="77">
        <v>-159</v>
      </c>
      <c r="C182" s="77">
        <v>58</v>
      </c>
      <c r="D182" s="77">
        <v>3270</v>
      </c>
      <c r="E182" s="77">
        <f>C182</f>
        <v>58</v>
      </c>
      <c r="F182" s="72">
        <v>2007</v>
      </c>
    </row>
    <row r="183" spans="1:6" ht="12.75">
      <c r="A183" s="112" t="s">
        <v>208</v>
      </c>
      <c r="B183" s="77">
        <v>-736</v>
      </c>
      <c r="C183" s="77">
        <v>0</v>
      </c>
      <c r="D183" s="77">
        <v>5859</v>
      </c>
      <c r="E183" s="77">
        <f>C183+11814</f>
        <v>11814</v>
      </c>
      <c r="F183" s="72">
        <v>2006</v>
      </c>
    </row>
    <row r="184" spans="1:6" ht="12.75">
      <c r="A184" s="71" t="s">
        <v>209</v>
      </c>
      <c r="B184" s="149"/>
      <c r="C184" s="149">
        <f>SUM(C185)</f>
        <v>3761</v>
      </c>
      <c r="D184" s="77"/>
      <c r="E184" s="77"/>
      <c r="F184" s="72"/>
    </row>
    <row r="185" spans="1:6" ht="12.75">
      <c r="A185" s="112" t="s">
        <v>210</v>
      </c>
      <c r="B185" s="77">
        <v>2790</v>
      </c>
      <c r="C185" s="77">
        <v>3761</v>
      </c>
      <c r="D185" s="77">
        <v>2800</v>
      </c>
      <c r="E185" s="77">
        <f>C185</f>
        <v>3761</v>
      </c>
      <c r="F185" s="72">
        <v>2006</v>
      </c>
    </row>
    <row r="186" spans="1:6" ht="12.75">
      <c r="A186" s="71" t="s">
        <v>211</v>
      </c>
      <c r="B186" s="149"/>
      <c r="C186" s="149">
        <f>SUM(C187)</f>
        <v>0</v>
      </c>
      <c r="D186" s="77"/>
      <c r="E186" s="77"/>
      <c r="F186" s="72"/>
    </row>
    <row r="187" spans="1:6" ht="12.75">
      <c r="A187" s="112" t="s">
        <v>212</v>
      </c>
      <c r="B187" s="77">
        <v>0</v>
      </c>
      <c r="C187" s="77">
        <v>0</v>
      </c>
      <c r="D187" s="77">
        <v>13800</v>
      </c>
      <c r="E187" s="77">
        <f>C187</f>
        <v>0</v>
      </c>
      <c r="F187" s="72">
        <v>2007</v>
      </c>
    </row>
    <row r="188" spans="1:6" ht="12.75">
      <c r="A188" s="71" t="s">
        <v>213</v>
      </c>
      <c r="B188" s="149"/>
      <c r="C188" s="149">
        <f>SUM(C189)</f>
        <v>0</v>
      </c>
      <c r="D188" s="77"/>
      <c r="E188" s="77"/>
      <c r="F188" s="72"/>
    </row>
    <row r="189" spans="1:6" ht="12.75">
      <c r="A189" s="112" t="s">
        <v>214</v>
      </c>
      <c r="B189" s="77">
        <v>0</v>
      </c>
      <c r="C189" s="77">
        <v>0</v>
      </c>
      <c r="D189" s="77">
        <v>36695</v>
      </c>
      <c r="E189" s="77">
        <f>C189+4278</f>
        <v>4278</v>
      </c>
      <c r="F189" s="72">
        <v>2007</v>
      </c>
    </row>
    <row r="190" spans="1:6" ht="12.75">
      <c r="A190" s="71" t="s">
        <v>215</v>
      </c>
      <c r="B190" s="149"/>
      <c r="C190" s="149">
        <f>SUM(C191:C192)</f>
        <v>10334</v>
      </c>
      <c r="D190" s="77"/>
      <c r="E190" s="77"/>
      <c r="F190" s="72"/>
    </row>
    <row r="191" spans="1:6" ht="12.75">
      <c r="A191" s="112" t="s">
        <v>216</v>
      </c>
      <c r="B191" s="77">
        <v>300</v>
      </c>
      <c r="C191" s="77">
        <v>0</v>
      </c>
      <c r="D191" s="77">
        <v>5584</v>
      </c>
      <c r="E191" s="77">
        <f>C191+61</f>
        <v>61</v>
      </c>
      <c r="F191" s="72">
        <v>2007</v>
      </c>
    </row>
    <row r="192" spans="1:6" ht="12.75">
      <c r="A192" s="112" t="s">
        <v>217</v>
      </c>
      <c r="B192" s="77">
        <v>13557</v>
      </c>
      <c r="C192" s="77">
        <v>10334</v>
      </c>
      <c r="D192" s="77">
        <v>16339</v>
      </c>
      <c r="E192" s="77">
        <f>C192+1110</f>
        <v>11444</v>
      </c>
      <c r="F192" s="72">
        <v>2007</v>
      </c>
    </row>
    <row r="193" spans="1:6" ht="12.75">
      <c r="A193" s="71" t="s">
        <v>218</v>
      </c>
      <c r="B193" s="149"/>
      <c r="C193" s="149">
        <f>SUM(C194:C197)</f>
        <v>9611</v>
      </c>
      <c r="D193" s="77"/>
      <c r="E193" s="77"/>
      <c r="F193" s="72"/>
    </row>
    <row r="194" spans="1:6" ht="12.75">
      <c r="A194" s="112" t="s">
        <v>219</v>
      </c>
      <c r="B194" s="77">
        <v>11841</v>
      </c>
      <c r="C194" s="77">
        <v>6778</v>
      </c>
      <c r="D194" s="77">
        <v>32330</v>
      </c>
      <c r="E194" s="77">
        <f>C194+28037</f>
        <v>34815</v>
      </c>
      <c r="F194" s="72">
        <v>2006</v>
      </c>
    </row>
    <row r="195" spans="1:6" ht="12.75">
      <c r="A195" s="112" t="s">
        <v>220</v>
      </c>
      <c r="B195" s="77">
        <v>272</v>
      </c>
      <c r="C195" s="77">
        <v>0</v>
      </c>
      <c r="D195" s="113">
        <v>6244</v>
      </c>
      <c r="E195" s="77">
        <f>C195+5827</f>
        <v>5827</v>
      </c>
      <c r="F195" s="72">
        <v>2006</v>
      </c>
    </row>
    <row r="196" spans="1:6" ht="12.75">
      <c r="A196" s="112" t="s">
        <v>221</v>
      </c>
      <c r="B196" s="77">
        <v>58</v>
      </c>
      <c r="C196" s="77">
        <v>-5</v>
      </c>
      <c r="D196" s="77">
        <v>4149</v>
      </c>
      <c r="E196" s="77">
        <f>C196+4002</f>
        <v>3997</v>
      </c>
      <c r="F196" s="72">
        <v>2006</v>
      </c>
    </row>
    <row r="197" spans="1:6" ht="12.75">
      <c r="A197" s="112" t="s">
        <v>222</v>
      </c>
      <c r="B197" s="77">
        <v>3803</v>
      </c>
      <c r="C197" s="77">
        <v>2838</v>
      </c>
      <c r="D197" s="77">
        <v>7000</v>
      </c>
      <c r="E197" s="77">
        <f>C197</f>
        <v>2838</v>
      </c>
      <c r="F197" s="72">
        <v>2007</v>
      </c>
    </row>
    <row r="198" spans="1:6" ht="12.75">
      <c r="A198" s="71" t="s">
        <v>223</v>
      </c>
      <c r="B198" s="149"/>
      <c r="C198" s="149">
        <f>SUM(C199:C201)</f>
        <v>3047</v>
      </c>
      <c r="D198" s="77"/>
      <c r="E198" s="77"/>
      <c r="F198" s="72"/>
    </row>
    <row r="199" spans="1:6" ht="12.75">
      <c r="A199" s="112" t="s">
        <v>224</v>
      </c>
      <c r="B199" s="77">
        <v>3000</v>
      </c>
      <c r="C199" s="77">
        <v>2922</v>
      </c>
      <c r="D199" s="77">
        <v>5510</v>
      </c>
      <c r="E199" s="77">
        <f>C199+123</f>
        <v>3045</v>
      </c>
      <c r="F199" s="72">
        <v>2007</v>
      </c>
    </row>
    <row r="200" spans="1:6" ht="12.75">
      <c r="A200" s="112" t="s">
        <v>225</v>
      </c>
      <c r="B200" s="77">
        <v>112</v>
      </c>
      <c r="C200" s="77">
        <v>125</v>
      </c>
      <c r="D200" s="77">
        <v>3270</v>
      </c>
      <c r="E200" s="77">
        <f>C200+3109</f>
        <v>3234</v>
      </c>
      <c r="F200" s="72">
        <v>2006</v>
      </c>
    </row>
    <row r="201" spans="1:6" ht="12.75">
      <c r="A201" s="112" t="s">
        <v>226</v>
      </c>
      <c r="B201" s="77">
        <v>5724</v>
      </c>
      <c r="C201" s="77">
        <v>0</v>
      </c>
      <c r="D201" s="77">
        <v>7443</v>
      </c>
      <c r="E201" s="77">
        <f>C201</f>
        <v>0</v>
      </c>
      <c r="F201" s="72">
        <v>2006</v>
      </c>
    </row>
    <row r="202" spans="1:6" ht="12.75">
      <c r="A202" s="71" t="s">
        <v>227</v>
      </c>
      <c r="B202" s="149"/>
      <c r="C202" s="149">
        <f>SUM(C203:C204)</f>
        <v>1687</v>
      </c>
      <c r="D202" s="77"/>
      <c r="E202" s="77"/>
      <c r="F202" s="72"/>
    </row>
    <row r="203" spans="1:6" ht="12.75">
      <c r="A203" s="112" t="s">
        <v>228</v>
      </c>
      <c r="B203" s="77">
        <v>1551</v>
      </c>
      <c r="C203" s="77">
        <v>1634</v>
      </c>
      <c r="D203" s="77">
        <v>12118</v>
      </c>
      <c r="E203" s="77">
        <f>C203+10313</f>
        <v>11947</v>
      </c>
      <c r="F203" s="72">
        <v>2006</v>
      </c>
    </row>
    <row r="204" spans="1:6" ht="12.75">
      <c r="A204" s="112" t="s">
        <v>230</v>
      </c>
      <c r="B204" s="77">
        <v>0</v>
      </c>
      <c r="C204" s="77">
        <v>53</v>
      </c>
      <c r="D204" s="77">
        <v>3530</v>
      </c>
      <c r="E204" s="77">
        <f>C204</f>
        <v>53</v>
      </c>
      <c r="F204" s="72">
        <v>2007</v>
      </c>
    </row>
    <row r="205" spans="1:6" ht="12.75">
      <c r="A205" s="71" t="s">
        <v>231</v>
      </c>
      <c r="B205" s="149"/>
      <c r="C205" s="149">
        <f>SUM(C206:C209)</f>
        <v>10495</v>
      </c>
      <c r="D205" s="77"/>
      <c r="E205" s="77"/>
      <c r="F205" s="72"/>
    </row>
    <row r="206" spans="1:6" ht="12.75">
      <c r="A206" s="112" t="s">
        <v>232</v>
      </c>
      <c r="B206" s="77">
        <v>1200</v>
      </c>
      <c r="C206" s="77">
        <v>890</v>
      </c>
      <c r="D206" s="77">
        <v>2100</v>
      </c>
      <c r="E206" s="77">
        <f>C206</f>
        <v>890</v>
      </c>
      <c r="F206" s="72">
        <v>2007</v>
      </c>
    </row>
    <row r="207" spans="1:6" ht="12.75">
      <c r="A207" s="112" t="s">
        <v>233</v>
      </c>
      <c r="B207" s="77">
        <v>790</v>
      </c>
      <c r="C207" s="77">
        <v>169</v>
      </c>
      <c r="D207" s="77">
        <v>800</v>
      </c>
      <c r="E207" s="77">
        <f>C207</f>
        <v>169</v>
      </c>
      <c r="F207" s="72">
        <v>2007</v>
      </c>
    </row>
    <row r="208" spans="1:6" ht="12.75">
      <c r="A208" s="112" t="s">
        <v>234</v>
      </c>
      <c r="B208" s="77">
        <v>500</v>
      </c>
      <c r="C208" s="77">
        <v>3101</v>
      </c>
      <c r="D208" s="77">
        <v>40000</v>
      </c>
      <c r="E208" s="77">
        <f>C208</f>
        <v>3101</v>
      </c>
      <c r="F208" s="72">
        <v>2007</v>
      </c>
    </row>
    <row r="209" spans="1:6" ht="12.75">
      <c r="A209" s="112" t="s">
        <v>229</v>
      </c>
      <c r="B209" s="77">
        <v>8600</v>
      </c>
      <c r="C209" s="113">
        <v>6335</v>
      </c>
      <c r="D209" s="77">
        <v>7800</v>
      </c>
      <c r="E209" s="77">
        <f>C209</f>
        <v>6335</v>
      </c>
      <c r="F209" s="72">
        <v>2006</v>
      </c>
    </row>
    <row r="210" spans="1:6" ht="12.75">
      <c r="A210" s="71"/>
      <c r="B210" s="77"/>
      <c r="D210" s="77"/>
      <c r="E210" s="77"/>
      <c r="F210" s="72"/>
    </row>
    <row r="211" spans="1:6" s="159" customFormat="1" ht="13.5">
      <c r="A211" s="155" t="s">
        <v>288</v>
      </c>
      <c r="B211" s="156">
        <f>B205+B202+B198+B193+B190+B188+B186+B184+B174+B164+B131+B129+B127+B125+B123+B120+B118+B108+B97+B61+B57+B50+B26+B24+B52</f>
        <v>0</v>
      </c>
      <c r="C211" s="156">
        <f>C205+C202+C198+C193+C190+C188+C186+C184+C174+C164+C131+C129+C127+C125+C123+C120+C118+C108+C97+C61+C57+C50+C26+C24+C52</f>
        <v>482649</v>
      </c>
      <c r="D211" s="157"/>
      <c r="E211" s="157"/>
      <c r="F211" s="158"/>
    </row>
    <row r="212" spans="1:6" ht="12.75">
      <c r="A212" s="71" t="s">
        <v>327</v>
      </c>
      <c r="B212" s="77"/>
      <c r="C212" s="77">
        <v>482645</v>
      </c>
      <c r="D212" s="77"/>
      <c r="E212" s="77"/>
      <c r="F212" s="72"/>
    </row>
    <row r="213" spans="1:6" ht="12.75">
      <c r="A213" s="87" t="s">
        <v>75</v>
      </c>
      <c r="B213" s="77"/>
      <c r="C213" s="77"/>
      <c r="D213" s="77"/>
      <c r="E213" s="77"/>
      <c r="F213" s="72"/>
    </row>
    <row r="214" spans="1:6" ht="12.75">
      <c r="A214" s="88" t="s">
        <v>76</v>
      </c>
      <c r="B214" s="78"/>
      <c r="C214" s="78"/>
      <c r="D214" s="78"/>
      <c r="E214" s="78"/>
      <c r="F214" s="73"/>
    </row>
    <row r="215" spans="1:6" ht="12.75">
      <c r="A215" s="74" t="s">
        <v>77</v>
      </c>
      <c r="B215" s="79"/>
      <c r="C215" s="79"/>
      <c r="D215" s="79"/>
      <c r="E215" s="79"/>
      <c r="F215" s="61"/>
    </row>
    <row r="216" spans="1:6" ht="12.75">
      <c r="A216" s="62" t="s">
        <v>55</v>
      </c>
      <c r="B216" s="75"/>
      <c r="C216" s="75"/>
      <c r="D216" s="75"/>
      <c r="E216" s="75"/>
      <c r="F216" s="75"/>
    </row>
    <row r="218" spans="1:6" ht="12.75">
      <c r="A218" s="75"/>
      <c r="B218" s="75"/>
      <c r="C218" s="75"/>
      <c r="D218" s="75"/>
      <c r="E218" s="75"/>
      <c r="F218" s="75"/>
    </row>
    <row r="219" spans="1:7" ht="12.75">
      <c r="A219" s="75"/>
      <c r="B219" s="75"/>
      <c r="C219" s="75"/>
      <c r="D219" s="75"/>
      <c r="E219" s="75"/>
      <c r="F219" s="75"/>
      <c r="G219" s="75"/>
    </row>
    <row r="220" spans="1:7" ht="12.75">
      <c r="A220" s="75"/>
      <c r="B220" s="75"/>
      <c r="C220" s="75"/>
      <c r="D220" s="75"/>
      <c r="E220" s="75"/>
      <c r="F220" s="75"/>
      <c r="G220" s="75"/>
    </row>
    <row r="221" spans="1:7" ht="12.75">
      <c r="A221" s="75"/>
      <c r="B221" s="75"/>
      <c r="C221" s="75"/>
      <c r="D221" s="75"/>
      <c r="E221" s="75"/>
      <c r="F221" s="75"/>
      <c r="G221" s="75"/>
    </row>
    <row r="222" spans="1:7" ht="12.75">
      <c r="A222" s="75"/>
      <c r="B222" s="75"/>
      <c r="C222" s="75"/>
      <c r="D222" s="75"/>
      <c r="E222" s="75"/>
      <c r="F222" s="75"/>
      <c r="G222" s="75"/>
    </row>
    <row r="223" spans="1:7" ht="12.75">
      <c r="A223" s="75"/>
      <c r="B223" s="75"/>
      <c r="C223" s="75"/>
      <c r="D223" s="75"/>
      <c r="E223" s="75"/>
      <c r="F223" s="75"/>
      <c r="G223" s="75"/>
    </row>
    <row r="224" spans="1:7" ht="12.75">
      <c r="A224" s="75"/>
      <c r="B224" s="75"/>
      <c r="C224" s="75"/>
      <c r="D224" s="75"/>
      <c r="E224" s="75"/>
      <c r="F224" s="75"/>
      <c r="G224" s="75"/>
    </row>
    <row r="225" spans="1:7" ht="12.75">
      <c r="A225" s="75"/>
      <c r="B225" s="75"/>
      <c r="C225" s="75"/>
      <c r="D225" s="75"/>
      <c r="E225" s="75"/>
      <c r="F225" s="75"/>
      <c r="G225" s="75"/>
    </row>
    <row r="226" spans="1:7" ht="12.75">
      <c r="A226" s="75"/>
      <c r="B226" s="75"/>
      <c r="C226" s="75"/>
      <c r="D226" s="75"/>
      <c r="E226" s="75"/>
      <c r="F226" s="75"/>
      <c r="G226" s="75"/>
    </row>
    <row r="227" spans="1:7" ht="12.75">
      <c r="A227" s="75"/>
      <c r="B227" s="75"/>
      <c r="C227" s="75"/>
      <c r="D227" s="75"/>
      <c r="E227" s="75"/>
      <c r="F227" s="75"/>
      <c r="G227" s="75"/>
    </row>
    <row r="228" spans="1:7" ht="12.75">
      <c r="A228" s="75"/>
      <c r="B228" s="75"/>
      <c r="C228" s="75"/>
      <c r="D228" s="75"/>
      <c r="E228" s="75"/>
      <c r="F228" s="75"/>
      <c r="G228" s="75"/>
    </row>
    <row r="229" spans="1:7" ht="12.75">
      <c r="A229" s="75"/>
      <c r="B229" s="75"/>
      <c r="C229" s="75"/>
      <c r="D229" s="75"/>
      <c r="E229" s="75"/>
      <c r="F229" s="75"/>
      <c r="G229" s="75"/>
    </row>
    <row r="230" spans="1:7" ht="12.75">
      <c r="A230" s="75"/>
      <c r="B230" s="75"/>
      <c r="C230" s="75"/>
      <c r="D230" s="75"/>
      <c r="E230" s="75"/>
      <c r="F230" s="75"/>
      <c r="G230" s="75"/>
    </row>
    <row r="231" spans="1:7" ht="12.75">
      <c r="A231" s="75"/>
      <c r="B231" s="75"/>
      <c r="C231" s="75"/>
      <c r="D231" s="75"/>
      <c r="E231" s="75"/>
      <c r="F231" s="75"/>
      <c r="G231" s="75"/>
    </row>
    <row r="232" spans="1:7" ht="12.75">
      <c r="A232" s="75"/>
      <c r="B232" s="75"/>
      <c r="C232" s="75"/>
      <c r="D232" s="75"/>
      <c r="E232" s="75"/>
      <c r="F232" s="75"/>
      <c r="G232" s="75"/>
    </row>
    <row r="233" spans="1:7" ht="12.75">
      <c r="A233" s="75"/>
      <c r="B233" s="75"/>
      <c r="C233" s="75"/>
      <c r="D233" s="75"/>
      <c r="E233" s="75"/>
      <c r="F233" s="75"/>
      <c r="G233" s="75"/>
    </row>
    <row r="234" spans="1:7" ht="12.75">
      <c r="A234" s="75"/>
      <c r="B234" s="75"/>
      <c r="C234" s="75"/>
      <c r="D234" s="75"/>
      <c r="E234" s="75"/>
      <c r="F234" s="75"/>
      <c r="G234" s="75"/>
    </row>
    <row r="235" spans="1:7" ht="12.75">
      <c r="A235" s="75"/>
      <c r="B235" s="75"/>
      <c r="C235" s="75"/>
      <c r="D235" s="75"/>
      <c r="E235" s="75"/>
      <c r="F235" s="75"/>
      <c r="G235" s="75"/>
    </row>
    <row r="236" spans="1:7" ht="12.75">
      <c r="A236" s="75"/>
      <c r="B236" s="75"/>
      <c r="C236" s="75"/>
      <c r="D236" s="75"/>
      <c r="E236" s="75"/>
      <c r="F236" s="75"/>
      <c r="G236" s="75"/>
    </row>
    <row r="237" spans="1:7" ht="12.75">
      <c r="A237" s="75"/>
      <c r="B237" s="75"/>
      <c r="C237" s="75"/>
      <c r="D237" s="75"/>
      <c r="E237" s="75"/>
      <c r="F237" s="75"/>
      <c r="G237" s="75"/>
    </row>
    <row r="238" spans="1:7" ht="12.75">
      <c r="A238" s="75"/>
      <c r="B238" s="75"/>
      <c r="C238" s="75"/>
      <c r="D238" s="75"/>
      <c r="E238" s="75"/>
      <c r="F238" s="75"/>
      <c r="G238" s="75"/>
    </row>
    <row r="239" spans="1:7" ht="12.75">
      <c r="A239" s="75"/>
      <c r="B239" s="75"/>
      <c r="C239" s="75"/>
      <c r="D239" s="75"/>
      <c r="E239" s="75"/>
      <c r="F239" s="75"/>
      <c r="G239" s="75"/>
    </row>
    <row r="240" spans="1:7" ht="12.75">
      <c r="A240" s="75"/>
      <c r="B240" s="75"/>
      <c r="C240" s="75"/>
      <c r="D240" s="75"/>
      <c r="E240" s="75"/>
      <c r="F240" s="75"/>
      <c r="G240" s="75"/>
    </row>
    <row r="241" spans="1:7" ht="12.75">
      <c r="A241" s="75"/>
      <c r="B241" s="75"/>
      <c r="C241" s="75"/>
      <c r="D241" s="75"/>
      <c r="E241" s="75"/>
      <c r="F241" s="75"/>
      <c r="G241" s="75"/>
    </row>
    <row r="242" spans="1:7" ht="12.75">
      <c r="A242" s="75"/>
      <c r="B242" s="75"/>
      <c r="C242" s="75"/>
      <c r="D242" s="75"/>
      <c r="E242" s="75"/>
      <c r="F242" s="75"/>
      <c r="G242" s="75"/>
    </row>
    <row r="243" spans="1:7" ht="12.75">
      <c r="A243" s="75"/>
      <c r="B243" s="75"/>
      <c r="C243" s="75"/>
      <c r="D243" s="75"/>
      <c r="E243" s="75"/>
      <c r="F243" s="75"/>
      <c r="G243" s="75"/>
    </row>
    <row r="244" spans="1:7" ht="12.75">
      <c r="A244" s="75"/>
      <c r="B244" s="75"/>
      <c r="C244" s="75"/>
      <c r="D244" s="75"/>
      <c r="E244" s="75"/>
      <c r="F244" s="75"/>
      <c r="G244" s="75"/>
    </row>
    <row r="245" spans="1:7" ht="12.75">
      <c r="A245" s="75"/>
      <c r="B245" s="75"/>
      <c r="C245" s="75"/>
      <c r="D245" s="75"/>
      <c r="E245" s="75"/>
      <c r="F245" s="75"/>
      <c r="G245" s="75"/>
    </row>
    <row r="246" spans="1:7" ht="12.75">
      <c r="A246" s="75"/>
      <c r="B246" s="75"/>
      <c r="C246" s="75"/>
      <c r="D246" s="75"/>
      <c r="E246" s="75"/>
      <c r="F246" s="75"/>
      <c r="G246" s="75"/>
    </row>
    <row r="247" spans="1:7" ht="12.75">
      <c r="A247" s="75"/>
      <c r="B247" s="75"/>
      <c r="C247" s="75"/>
      <c r="D247" s="75"/>
      <c r="E247" s="75"/>
      <c r="F247" s="75"/>
      <c r="G247" s="75"/>
    </row>
    <row r="248" spans="1:7" ht="12.75">
      <c r="A248" s="75"/>
      <c r="B248" s="75"/>
      <c r="C248" s="75"/>
      <c r="D248" s="75"/>
      <c r="E248" s="75"/>
      <c r="F248" s="75"/>
      <c r="G248" s="75"/>
    </row>
    <row r="249" spans="1:7" ht="12.75">
      <c r="A249" s="75"/>
      <c r="B249" s="75"/>
      <c r="C249" s="75"/>
      <c r="D249" s="75"/>
      <c r="E249" s="75"/>
      <c r="F249" s="75"/>
      <c r="G249" s="75"/>
    </row>
    <row r="250" spans="1:7" ht="12.75">
      <c r="A250" s="75"/>
      <c r="B250" s="75"/>
      <c r="C250" s="75"/>
      <c r="D250" s="75"/>
      <c r="E250" s="75"/>
      <c r="F250" s="75"/>
      <c r="G250" s="75"/>
    </row>
    <row r="251" spans="1:7" ht="12.75">
      <c r="A251" s="75"/>
      <c r="B251" s="75"/>
      <c r="C251" s="75"/>
      <c r="D251" s="75"/>
      <c r="E251" s="75"/>
      <c r="F251" s="75"/>
      <c r="G251" s="75"/>
    </row>
    <row r="252" spans="1:7" ht="12.75">
      <c r="A252" s="75"/>
      <c r="B252" s="75"/>
      <c r="C252" s="75"/>
      <c r="D252" s="75"/>
      <c r="E252" s="75"/>
      <c r="F252" s="75"/>
      <c r="G252" s="75"/>
    </row>
    <row r="253" spans="1:7" ht="12.75">
      <c r="A253" s="75"/>
      <c r="B253" s="75"/>
      <c r="C253" s="75"/>
      <c r="D253" s="75"/>
      <c r="E253" s="75"/>
      <c r="F253" s="75"/>
      <c r="G253" s="75"/>
    </row>
    <row r="254" spans="1:7" ht="12.75">
      <c r="A254" s="75"/>
      <c r="B254" s="75"/>
      <c r="C254" s="75"/>
      <c r="D254" s="75"/>
      <c r="E254" s="75"/>
      <c r="F254" s="75"/>
      <c r="G254" s="75"/>
    </row>
    <row r="255" spans="1:7" ht="12.75">
      <c r="A255" s="75"/>
      <c r="B255" s="75"/>
      <c r="C255" s="75"/>
      <c r="D255" s="75"/>
      <c r="E255" s="75"/>
      <c r="F255" s="75"/>
      <c r="G255" s="75"/>
    </row>
    <row r="256" spans="1:7" ht="12.75">
      <c r="A256" s="75"/>
      <c r="B256" s="75"/>
      <c r="C256" s="75"/>
      <c r="D256" s="75"/>
      <c r="E256" s="75"/>
      <c r="F256" s="75"/>
      <c r="G256" s="75"/>
    </row>
    <row r="257" spans="1:7" ht="12.75">
      <c r="A257" s="75"/>
      <c r="B257" s="75"/>
      <c r="C257" s="75"/>
      <c r="D257" s="75"/>
      <c r="E257" s="75"/>
      <c r="F257" s="75"/>
      <c r="G257" s="75"/>
    </row>
    <row r="258" spans="1:7" ht="12.75">
      <c r="A258" s="75"/>
      <c r="B258" s="75"/>
      <c r="C258" s="75"/>
      <c r="D258" s="75"/>
      <c r="E258" s="75"/>
      <c r="F258" s="75"/>
      <c r="G258" s="75"/>
    </row>
    <row r="259" spans="1:7" ht="12.75">
      <c r="A259" s="75"/>
      <c r="B259" s="75"/>
      <c r="C259" s="75"/>
      <c r="D259" s="75"/>
      <c r="E259" s="75"/>
      <c r="F259" s="75"/>
      <c r="G259" s="75"/>
    </row>
    <row r="260" spans="1:7" ht="12.75">
      <c r="A260" s="75"/>
      <c r="B260" s="75"/>
      <c r="C260" s="75"/>
      <c r="D260" s="75"/>
      <c r="E260" s="75"/>
      <c r="F260" s="75"/>
      <c r="G260" s="75"/>
    </row>
    <row r="261" spans="1:7" ht="12.75">
      <c r="A261" s="75"/>
      <c r="B261" s="75"/>
      <c r="C261" s="75"/>
      <c r="D261" s="75"/>
      <c r="E261" s="75"/>
      <c r="F261" s="75"/>
      <c r="G261" s="75"/>
    </row>
    <row r="262" spans="1:7" ht="12.75">
      <c r="A262" s="75"/>
      <c r="B262" s="75"/>
      <c r="C262" s="75"/>
      <c r="D262" s="75"/>
      <c r="E262" s="75"/>
      <c r="F262" s="75"/>
      <c r="G262" s="75"/>
    </row>
    <row r="263" spans="1:7" ht="12.75">
      <c r="A263" s="75"/>
      <c r="B263" s="75"/>
      <c r="C263" s="75"/>
      <c r="D263" s="75"/>
      <c r="E263" s="75"/>
      <c r="F263" s="75"/>
      <c r="G263" s="75"/>
    </row>
    <row r="264" spans="1:7" ht="12.75">
      <c r="A264" s="75"/>
      <c r="B264" s="75"/>
      <c r="C264" s="75"/>
      <c r="D264" s="75"/>
      <c r="E264" s="75"/>
      <c r="F264" s="75"/>
      <c r="G264" s="75"/>
    </row>
    <row r="265" spans="1:7" ht="12.75">
      <c r="A265" s="75"/>
      <c r="B265" s="75"/>
      <c r="C265" s="75"/>
      <c r="D265" s="75"/>
      <c r="E265" s="75"/>
      <c r="F265" s="75"/>
      <c r="G265" s="75"/>
    </row>
    <row r="266" spans="1:7" ht="12.75">
      <c r="A266" s="75"/>
      <c r="B266" s="75"/>
      <c r="C266" s="75"/>
      <c r="D266" s="75"/>
      <c r="E266" s="75"/>
      <c r="F266" s="75"/>
      <c r="G266" s="75"/>
    </row>
    <row r="267" spans="1:7" ht="12.75">
      <c r="A267" s="75"/>
      <c r="B267" s="75"/>
      <c r="C267" s="75"/>
      <c r="D267" s="75"/>
      <c r="E267" s="75"/>
      <c r="F267" s="75"/>
      <c r="G267" s="75"/>
    </row>
    <row r="268" spans="1:7" ht="12.75">
      <c r="A268" s="75"/>
      <c r="B268" s="75"/>
      <c r="C268" s="75"/>
      <c r="D268" s="75"/>
      <c r="E268" s="75"/>
      <c r="F268" s="75"/>
      <c r="G268" s="75"/>
    </row>
    <row r="269" spans="1:7" ht="12.75">
      <c r="A269" s="75"/>
      <c r="B269" s="75"/>
      <c r="C269" s="75"/>
      <c r="D269" s="75"/>
      <c r="E269" s="75"/>
      <c r="F269" s="75"/>
      <c r="G269" s="75"/>
    </row>
    <row r="270" spans="1:7" ht="12.75">
      <c r="A270" s="75"/>
      <c r="B270" s="75"/>
      <c r="C270" s="75"/>
      <c r="D270" s="75"/>
      <c r="E270" s="75"/>
      <c r="F270" s="75"/>
      <c r="G270" s="75"/>
    </row>
    <row r="271" spans="1:7" ht="12.75">
      <c r="A271" s="75"/>
      <c r="B271" s="75"/>
      <c r="C271" s="75"/>
      <c r="D271" s="75"/>
      <c r="E271" s="75"/>
      <c r="F271" s="75"/>
      <c r="G271" s="75"/>
    </row>
    <row r="272" spans="1:7" ht="12.75">
      <c r="A272" s="75"/>
      <c r="B272" s="75"/>
      <c r="C272" s="75"/>
      <c r="D272" s="75"/>
      <c r="E272" s="75"/>
      <c r="F272" s="75"/>
      <c r="G272" s="75"/>
    </row>
    <row r="273" spans="1:7" ht="12.75">
      <c r="A273" s="75"/>
      <c r="B273" s="75"/>
      <c r="C273" s="75"/>
      <c r="D273" s="75"/>
      <c r="E273" s="75"/>
      <c r="F273" s="75"/>
      <c r="G273" s="75"/>
    </row>
    <row r="274" spans="1:7" ht="12.75">
      <c r="A274" s="75"/>
      <c r="B274" s="75"/>
      <c r="C274" s="75"/>
      <c r="D274" s="75"/>
      <c r="E274" s="75"/>
      <c r="F274" s="75"/>
      <c r="G274" s="75"/>
    </row>
    <row r="275" spans="1:7" ht="12.75">
      <c r="A275" s="75"/>
      <c r="B275" s="75"/>
      <c r="C275" s="75"/>
      <c r="D275" s="75"/>
      <c r="E275" s="75"/>
      <c r="F275" s="75"/>
      <c r="G275" s="75"/>
    </row>
    <row r="276" spans="1:7" ht="12.75">
      <c r="A276" s="75"/>
      <c r="B276" s="75"/>
      <c r="C276" s="75"/>
      <c r="D276" s="75"/>
      <c r="E276" s="75"/>
      <c r="F276" s="75"/>
      <c r="G276" s="75"/>
    </row>
    <row r="277" spans="1:7" ht="12.75">
      <c r="A277" s="75"/>
      <c r="B277" s="75"/>
      <c r="C277" s="75"/>
      <c r="D277" s="75"/>
      <c r="E277" s="75"/>
      <c r="F277" s="75"/>
      <c r="G277" s="75"/>
    </row>
    <row r="278" spans="1:7" ht="12.75">
      <c r="A278" s="75"/>
      <c r="B278" s="75"/>
      <c r="C278" s="75"/>
      <c r="D278" s="75"/>
      <c r="E278" s="75"/>
      <c r="F278" s="75"/>
      <c r="G278" s="75"/>
    </row>
    <row r="279" spans="1:7" ht="12.75">
      <c r="A279" s="75"/>
      <c r="B279" s="75"/>
      <c r="C279" s="75"/>
      <c r="D279" s="75"/>
      <c r="E279" s="75"/>
      <c r="F279" s="75"/>
      <c r="G279" s="75"/>
    </row>
    <row r="280" spans="1:7" ht="12.75">
      <c r="A280" s="75"/>
      <c r="B280" s="75"/>
      <c r="C280" s="75"/>
      <c r="D280" s="75"/>
      <c r="E280" s="75"/>
      <c r="F280" s="75"/>
      <c r="G280" s="75"/>
    </row>
    <row r="281" spans="1:7" ht="12.75">
      <c r="A281" s="75"/>
      <c r="B281" s="75"/>
      <c r="C281" s="75"/>
      <c r="D281" s="75"/>
      <c r="E281" s="75"/>
      <c r="F281" s="75"/>
      <c r="G281" s="75"/>
    </row>
    <row r="282" spans="1:7" ht="12.75">
      <c r="A282" s="75"/>
      <c r="B282" s="75"/>
      <c r="C282" s="75"/>
      <c r="D282" s="75"/>
      <c r="E282" s="75"/>
      <c r="F282" s="75"/>
      <c r="G282" s="75"/>
    </row>
    <row r="283" spans="1:7" ht="12.75">
      <c r="A283" s="75"/>
      <c r="B283" s="75"/>
      <c r="C283" s="75"/>
      <c r="D283" s="75"/>
      <c r="E283" s="75"/>
      <c r="F283" s="75"/>
      <c r="G283" s="75"/>
    </row>
    <row r="284" spans="1:7" ht="12.75">
      <c r="A284" s="75"/>
      <c r="B284" s="75"/>
      <c r="C284" s="75"/>
      <c r="D284" s="75"/>
      <c r="E284" s="75"/>
      <c r="F284" s="75"/>
      <c r="G284" s="75"/>
    </row>
    <row r="285" spans="1:7" ht="12.75">
      <c r="A285" s="75"/>
      <c r="B285" s="75"/>
      <c r="C285" s="75"/>
      <c r="D285" s="75"/>
      <c r="E285" s="75"/>
      <c r="F285" s="75"/>
      <c r="G285" s="75"/>
    </row>
    <row r="286" spans="1:7" ht="12.75">
      <c r="A286" s="75"/>
      <c r="B286" s="75"/>
      <c r="C286" s="75"/>
      <c r="D286" s="75"/>
      <c r="E286" s="75"/>
      <c r="F286" s="75"/>
      <c r="G286" s="75"/>
    </row>
    <row r="287" spans="1:7" ht="12.75">
      <c r="A287" s="75"/>
      <c r="B287" s="75"/>
      <c r="C287" s="75"/>
      <c r="D287" s="75"/>
      <c r="E287" s="75"/>
      <c r="F287" s="75"/>
      <c r="G287" s="75"/>
    </row>
    <row r="288" spans="1:7" ht="12.75">
      <c r="A288" s="75"/>
      <c r="B288" s="75"/>
      <c r="C288" s="75"/>
      <c r="D288" s="75"/>
      <c r="E288" s="75"/>
      <c r="F288" s="75"/>
      <c r="G288" s="75"/>
    </row>
    <row r="289" spans="1:7" ht="12.75">
      <c r="A289" s="75"/>
      <c r="B289" s="75"/>
      <c r="C289" s="75"/>
      <c r="D289" s="75"/>
      <c r="E289" s="75"/>
      <c r="F289" s="75"/>
      <c r="G289" s="75"/>
    </row>
    <row r="290" spans="1:7" ht="12.75">
      <c r="A290" s="75"/>
      <c r="B290" s="75"/>
      <c r="C290" s="75"/>
      <c r="D290" s="75"/>
      <c r="E290" s="75"/>
      <c r="F290" s="75"/>
      <c r="G290" s="75"/>
    </row>
    <row r="291" spans="1:7" ht="12.75">
      <c r="A291" s="75"/>
      <c r="B291" s="75"/>
      <c r="C291" s="75"/>
      <c r="D291" s="75"/>
      <c r="E291" s="75"/>
      <c r="F291" s="75"/>
      <c r="G291" s="75"/>
    </row>
    <row r="292" spans="1:7" ht="12.75">
      <c r="A292" s="75"/>
      <c r="B292" s="75"/>
      <c r="C292" s="75"/>
      <c r="D292" s="75"/>
      <c r="E292" s="75"/>
      <c r="F292" s="75"/>
      <c r="G292" s="75"/>
    </row>
    <row r="293" spans="1:7" ht="12.75">
      <c r="A293" s="75"/>
      <c r="B293" s="75"/>
      <c r="C293" s="75"/>
      <c r="D293" s="75"/>
      <c r="E293" s="75"/>
      <c r="F293" s="75"/>
      <c r="G293" s="75"/>
    </row>
    <row r="294" spans="1:7" ht="12.75">
      <c r="A294" s="75"/>
      <c r="B294" s="75"/>
      <c r="C294" s="75"/>
      <c r="D294" s="75"/>
      <c r="E294" s="75"/>
      <c r="F294" s="75"/>
      <c r="G294" s="75"/>
    </row>
    <row r="295" spans="1:7" ht="12.75">
      <c r="A295" s="75"/>
      <c r="B295" s="75"/>
      <c r="C295" s="75"/>
      <c r="D295" s="75"/>
      <c r="E295" s="75"/>
      <c r="F295" s="75"/>
      <c r="G295" s="75"/>
    </row>
    <row r="296" spans="1:7" ht="12.75">
      <c r="A296" s="75"/>
      <c r="B296" s="75"/>
      <c r="C296" s="75"/>
      <c r="D296" s="75"/>
      <c r="E296" s="75"/>
      <c r="F296" s="75"/>
      <c r="G296" s="75"/>
    </row>
    <row r="297" spans="1:7" ht="12.75">
      <c r="A297" s="75"/>
      <c r="B297" s="75"/>
      <c r="C297" s="75"/>
      <c r="D297" s="75"/>
      <c r="E297" s="75"/>
      <c r="F297" s="75"/>
      <c r="G297" s="75"/>
    </row>
    <row r="298" spans="1:7" ht="12.75">
      <c r="A298" s="75"/>
      <c r="B298" s="75"/>
      <c r="C298" s="75"/>
      <c r="D298" s="75"/>
      <c r="E298" s="75"/>
      <c r="F298" s="75"/>
      <c r="G298" s="75"/>
    </row>
    <row r="299" spans="1:7" ht="12.75">
      <c r="A299" s="75"/>
      <c r="B299" s="75"/>
      <c r="C299" s="75"/>
      <c r="D299" s="75"/>
      <c r="E299" s="75"/>
      <c r="F299" s="75"/>
      <c r="G299" s="75"/>
    </row>
    <row r="300" spans="1:7" ht="12.75">
      <c r="A300" s="75"/>
      <c r="B300" s="75"/>
      <c r="C300" s="75"/>
      <c r="D300" s="75"/>
      <c r="E300" s="75"/>
      <c r="F300" s="75"/>
      <c r="G300" s="75"/>
    </row>
    <row r="301" spans="1:7" ht="12.75">
      <c r="A301" s="75"/>
      <c r="B301" s="75"/>
      <c r="C301" s="75"/>
      <c r="D301" s="75"/>
      <c r="E301" s="75"/>
      <c r="F301" s="75"/>
      <c r="G301" s="75"/>
    </row>
    <row r="302" spans="1:7" ht="12.75">
      <c r="A302" s="75"/>
      <c r="B302" s="75"/>
      <c r="C302" s="75"/>
      <c r="D302" s="75"/>
      <c r="E302" s="75"/>
      <c r="F302" s="75"/>
      <c r="G302" s="75"/>
    </row>
    <row r="303" spans="1:7" ht="12.75">
      <c r="A303" s="75"/>
      <c r="B303" s="75"/>
      <c r="C303" s="75"/>
      <c r="D303" s="75"/>
      <c r="E303" s="75"/>
      <c r="F303" s="75"/>
      <c r="G303" s="75"/>
    </row>
    <row r="304" spans="1:7" ht="12.75">
      <c r="A304" s="75"/>
      <c r="B304" s="75"/>
      <c r="C304" s="75"/>
      <c r="D304" s="75"/>
      <c r="E304" s="75"/>
      <c r="F304" s="75"/>
      <c r="G304" s="75"/>
    </row>
    <row r="305" spans="1:7" ht="12.75">
      <c r="A305" s="75"/>
      <c r="B305" s="75"/>
      <c r="C305" s="75"/>
      <c r="D305" s="75"/>
      <c r="E305" s="75"/>
      <c r="F305" s="75"/>
      <c r="G305" s="75"/>
    </row>
    <row r="306" spans="1:7" ht="12.75">
      <c r="A306" s="75"/>
      <c r="B306" s="75"/>
      <c r="C306" s="75"/>
      <c r="D306" s="75"/>
      <c r="E306" s="75"/>
      <c r="F306" s="75"/>
      <c r="G306" s="75"/>
    </row>
    <row r="307" spans="1:7" ht="12.75">
      <c r="A307" s="75"/>
      <c r="B307" s="75"/>
      <c r="C307" s="75"/>
      <c r="D307" s="75"/>
      <c r="E307" s="75"/>
      <c r="F307" s="75"/>
      <c r="G307" s="75"/>
    </row>
    <row r="308" spans="1:7" ht="12.75">
      <c r="A308" s="75"/>
      <c r="B308" s="75"/>
      <c r="C308" s="75"/>
      <c r="D308" s="75"/>
      <c r="E308" s="75"/>
      <c r="F308" s="75"/>
      <c r="G308" s="75"/>
    </row>
    <row r="309" spans="1:7" ht="12.75">
      <c r="A309" s="75"/>
      <c r="B309" s="75"/>
      <c r="C309" s="75"/>
      <c r="D309" s="75"/>
      <c r="E309" s="75"/>
      <c r="F309" s="75"/>
      <c r="G309" s="75"/>
    </row>
    <row r="310" spans="1:7" ht="12.75">
      <c r="A310" s="75"/>
      <c r="B310" s="75"/>
      <c r="C310" s="75"/>
      <c r="D310" s="75"/>
      <c r="E310" s="75"/>
      <c r="F310" s="75"/>
      <c r="G310" s="75"/>
    </row>
    <row r="311" spans="1:7" ht="12.75">
      <c r="A311" s="75"/>
      <c r="B311" s="75"/>
      <c r="C311" s="75"/>
      <c r="D311" s="75"/>
      <c r="E311" s="75"/>
      <c r="F311" s="75"/>
      <c r="G311" s="75"/>
    </row>
    <row r="312" spans="1:7" ht="12.75">
      <c r="A312" s="75"/>
      <c r="B312" s="75"/>
      <c r="C312" s="75"/>
      <c r="D312" s="75"/>
      <c r="E312" s="75"/>
      <c r="F312" s="75"/>
      <c r="G312" s="75"/>
    </row>
    <row r="313" spans="1:7" ht="12.75">
      <c r="A313" s="75"/>
      <c r="B313" s="75"/>
      <c r="C313" s="75"/>
      <c r="D313" s="75"/>
      <c r="E313" s="75"/>
      <c r="F313" s="75"/>
      <c r="G313" s="75"/>
    </row>
    <row r="314" spans="1:7" ht="12.75">
      <c r="A314" s="75"/>
      <c r="B314" s="75"/>
      <c r="C314" s="75"/>
      <c r="D314" s="75"/>
      <c r="E314" s="75"/>
      <c r="F314" s="75"/>
      <c r="G314" s="75"/>
    </row>
    <row r="315" spans="1:7" ht="12.75">
      <c r="A315" s="75"/>
      <c r="B315" s="75"/>
      <c r="C315" s="75"/>
      <c r="D315" s="75"/>
      <c r="E315" s="75"/>
      <c r="F315" s="75"/>
      <c r="G315" s="75"/>
    </row>
    <row r="316" spans="1:7" ht="12.75">
      <c r="A316" s="75"/>
      <c r="B316" s="75"/>
      <c r="C316" s="75"/>
      <c r="D316" s="75"/>
      <c r="E316" s="75"/>
      <c r="F316" s="75"/>
      <c r="G316" s="75"/>
    </row>
    <row r="317" spans="1:7" ht="12.75">
      <c r="A317" s="75"/>
      <c r="B317" s="75"/>
      <c r="C317" s="75"/>
      <c r="D317" s="75"/>
      <c r="E317" s="75"/>
      <c r="F317" s="75"/>
      <c r="G317" s="75"/>
    </row>
    <row r="318" spans="1:7" ht="12.75">
      <c r="A318" s="75"/>
      <c r="B318" s="75"/>
      <c r="C318" s="75"/>
      <c r="D318" s="75"/>
      <c r="E318" s="75"/>
      <c r="F318" s="75"/>
      <c r="G318" s="75"/>
    </row>
    <row r="319" spans="1:7" ht="12.75">
      <c r="A319" s="75"/>
      <c r="B319" s="75"/>
      <c r="C319" s="75"/>
      <c r="D319" s="75"/>
      <c r="E319" s="75"/>
      <c r="F319" s="75"/>
      <c r="G319" s="75"/>
    </row>
    <row r="320" spans="1:7" ht="12.75">
      <c r="A320" s="75"/>
      <c r="B320" s="75"/>
      <c r="C320" s="75"/>
      <c r="D320" s="75"/>
      <c r="E320" s="75"/>
      <c r="F320" s="75"/>
      <c r="G320" s="75"/>
    </row>
    <row r="321" spans="1:7" ht="12.75">
      <c r="A321" s="75"/>
      <c r="B321" s="75"/>
      <c r="C321" s="75"/>
      <c r="D321" s="75"/>
      <c r="E321" s="75"/>
      <c r="F321" s="75"/>
      <c r="G321" s="75"/>
    </row>
    <row r="322" spans="1:7" ht="12.75">
      <c r="A322" s="75"/>
      <c r="B322" s="75"/>
      <c r="C322" s="75"/>
      <c r="D322" s="75"/>
      <c r="E322" s="75"/>
      <c r="F322" s="75"/>
      <c r="G322" s="75"/>
    </row>
    <row r="323" spans="1:7" ht="12.75">
      <c r="A323" s="75"/>
      <c r="B323" s="75"/>
      <c r="C323" s="75"/>
      <c r="D323" s="75"/>
      <c r="E323" s="75"/>
      <c r="F323" s="75"/>
      <c r="G323" s="75"/>
    </row>
    <row r="324" spans="1:7" ht="12.75">
      <c r="A324" s="75"/>
      <c r="B324" s="75"/>
      <c r="C324" s="75"/>
      <c r="D324" s="75"/>
      <c r="E324" s="75"/>
      <c r="F324" s="75"/>
      <c r="G324" s="75"/>
    </row>
    <row r="325" spans="1:7" ht="12.75">
      <c r="A325" s="75"/>
      <c r="B325" s="75"/>
      <c r="C325" s="75"/>
      <c r="D325" s="75"/>
      <c r="E325" s="75"/>
      <c r="F325" s="75"/>
      <c r="G325" s="75"/>
    </row>
    <row r="326" spans="1:7" ht="12.75">
      <c r="A326" s="75"/>
      <c r="B326" s="75"/>
      <c r="C326" s="75"/>
      <c r="D326" s="75"/>
      <c r="E326" s="75"/>
      <c r="F326" s="75"/>
      <c r="G326" s="75"/>
    </row>
    <row r="327" spans="1:7" ht="12.75">
      <c r="A327" s="75"/>
      <c r="B327" s="75"/>
      <c r="C327" s="75"/>
      <c r="D327" s="75"/>
      <c r="E327" s="75"/>
      <c r="F327" s="75"/>
      <c r="G327" s="75"/>
    </row>
    <row r="328" spans="1:7" ht="12.75">
      <c r="A328" s="75"/>
      <c r="B328" s="75"/>
      <c r="C328" s="75"/>
      <c r="D328" s="75"/>
      <c r="E328" s="75"/>
      <c r="F328" s="75"/>
      <c r="G328" s="75"/>
    </row>
    <row r="329" spans="1:7" ht="12.75">
      <c r="A329" s="75"/>
      <c r="B329" s="75"/>
      <c r="C329" s="75"/>
      <c r="D329" s="75"/>
      <c r="E329" s="75"/>
      <c r="F329" s="75"/>
      <c r="G329" s="75"/>
    </row>
    <row r="330" spans="1:7" ht="12.75">
      <c r="A330" s="75"/>
      <c r="B330" s="75"/>
      <c r="C330" s="75"/>
      <c r="D330" s="75"/>
      <c r="E330" s="75"/>
      <c r="F330" s="75"/>
      <c r="G330" s="75"/>
    </row>
    <row r="331" spans="1:7" ht="12.75">
      <c r="A331" s="75"/>
      <c r="B331" s="75"/>
      <c r="C331" s="75"/>
      <c r="D331" s="75"/>
      <c r="E331" s="75"/>
      <c r="F331" s="75"/>
      <c r="G331" s="75"/>
    </row>
    <row r="332" spans="1:7" ht="12.75">
      <c r="A332" s="75"/>
      <c r="B332" s="75"/>
      <c r="C332" s="75"/>
      <c r="D332" s="75"/>
      <c r="E332" s="75"/>
      <c r="F332" s="75"/>
      <c r="G332" s="75"/>
    </row>
    <row r="333" spans="1:7" ht="12.75">
      <c r="A333" s="75"/>
      <c r="B333" s="75"/>
      <c r="C333" s="75"/>
      <c r="D333" s="75"/>
      <c r="E333" s="75"/>
      <c r="F333" s="75"/>
      <c r="G333" s="75"/>
    </row>
    <row r="334" spans="1:7" ht="12.75">
      <c r="A334" s="75"/>
      <c r="B334" s="75"/>
      <c r="C334" s="75"/>
      <c r="D334" s="75"/>
      <c r="E334" s="75"/>
      <c r="F334" s="75"/>
      <c r="G334" s="75"/>
    </row>
    <row r="335" spans="1:7" ht="12.75">
      <c r="A335" s="75"/>
      <c r="B335" s="75"/>
      <c r="C335" s="75"/>
      <c r="D335" s="75"/>
      <c r="E335" s="75"/>
      <c r="F335" s="75"/>
      <c r="G335" s="75"/>
    </row>
    <row r="336" spans="1:7" ht="12.75">
      <c r="A336" s="75"/>
      <c r="B336" s="75"/>
      <c r="C336" s="75"/>
      <c r="D336" s="75"/>
      <c r="E336" s="75"/>
      <c r="F336" s="75"/>
      <c r="G336" s="75"/>
    </row>
    <row r="337" spans="1:7" ht="12.75">
      <c r="A337" s="75"/>
      <c r="B337" s="75"/>
      <c r="C337" s="75"/>
      <c r="D337" s="75"/>
      <c r="E337" s="75"/>
      <c r="F337" s="75"/>
      <c r="G337" s="75"/>
    </row>
    <row r="338" spans="1:7" ht="12.75">
      <c r="A338" s="75"/>
      <c r="B338" s="75"/>
      <c r="C338" s="75"/>
      <c r="D338" s="75"/>
      <c r="E338" s="75"/>
      <c r="F338" s="75"/>
      <c r="G338" s="75"/>
    </row>
    <row r="339" spans="1:7" ht="12.75">
      <c r="A339" s="75"/>
      <c r="B339" s="75"/>
      <c r="C339" s="75"/>
      <c r="D339" s="75"/>
      <c r="E339" s="75"/>
      <c r="F339" s="75"/>
      <c r="G339" s="75"/>
    </row>
    <row r="340" spans="1:7" ht="12.75">
      <c r="A340" s="75"/>
      <c r="B340" s="75"/>
      <c r="C340" s="75"/>
      <c r="D340" s="75"/>
      <c r="E340" s="75"/>
      <c r="F340" s="75"/>
      <c r="G340" s="75"/>
    </row>
    <row r="341" spans="1:7" ht="12.75">
      <c r="A341" s="75"/>
      <c r="B341" s="75"/>
      <c r="C341" s="75"/>
      <c r="D341" s="75"/>
      <c r="E341" s="75"/>
      <c r="F341" s="75"/>
      <c r="G341" s="75"/>
    </row>
    <row r="342" spans="1:7" ht="12.75">
      <c r="A342" s="75"/>
      <c r="B342" s="75"/>
      <c r="C342" s="75"/>
      <c r="D342" s="75"/>
      <c r="E342" s="75"/>
      <c r="F342" s="75"/>
      <c r="G342" s="75"/>
    </row>
    <row r="343" spans="1:7" ht="12.75">
      <c r="A343" s="75"/>
      <c r="B343" s="75"/>
      <c r="C343" s="75"/>
      <c r="D343" s="75"/>
      <c r="E343" s="75"/>
      <c r="F343" s="75"/>
      <c r="G343" s="75"/>
    </row>
    <row r="344" spans="1:7" ht="12.75">
      <c r="A344" s="75"/>
      <c r="B344" s="75"/>
      <c r="C344" s="75"/>
      <c r="D344" s="75"/>
      <c r="E344" s="75"/>
      <c r="F344" s="75"/>
      <c r="G344" s="75"/>
    </row>
    <row r="345" spans="1:7" ht="12.75">
      <c r="A345" s="75"/>
      <c r="B345" s="75"/>
      <c r="C345" s="75"/>
      <c r="D345" s="75"/>
      <c r="E345" s="75"/>
      <c r="F345" s="75"/>
      <c r="G345" s="75"/>
    </row>
    <row r="346" spans="1:7" ht="12.75">
      <c r="A346" s="75"/>
      <c r="B346" s="75"/>
      <c r="C346" s="75"/>
      <c r="D346" s="75"/>
      <c r="E346" s="75"/>
      <c r="F346" s="75"/>
      <c r="G346" s="75"/>
    </row>
    <row r="347" spans="1:7" ht="12.75">
      <c r="A347" s="75"/>
      <c r="B347" s="75"/>
      <c r="C347" s="75"/>
      <c r="D347" s="75"/>
      <c r="E347" s="75"/>
      <c r="F347" s="75"/>
      <c r="G347" s="75"/>
    </row>
    <row r="348" spans="1:7" ht="12.75">
      <c r="A348" s="75"/>
      <c r="B348" s="75"/>
      <c r="C348" s="75"/>
      <c r="D348" s="75"/>
      <c r="E348" s="75"/>
      <c r="F348" s="75"/>
      <c r="G348" s="75"/>
    </row>
    <row r="349" spans="1:7" ht="12.75">
      <c r="A349" s="75"/>
      <c r="B349" s="75"/>
      <c r="C349" s="75"/>
      <c r="D349" s="75"/>
      <c r="E349" s="75"/>
      <c r="F349" s="75"/>
      <c r="G349" s="75"/>
    </row>
    <row r="350" spans="1:7" ht="12.75">
      <c r="A350" s="75"/>
      <c r="B350" s="75"/>
      <c r="C350" s="75"/>
      <c r="D350" s="75"/>
      <c r="E350" s="75"/>
      <c r="F350" s="75"/>
      <c r="G350" s="75"/>
    </row>
    <row r="351" spans="1:7" ht="12.75">
      <c r="A351" s="75"/>
      <c r="B351" s="75"/>
      <c r="C351" s="75"/>
      <c r="D351" s="75"/>
      <c r="E351" s="75"/>
      <c r="F351" s="75"/>
      <c r="G351" s="75"/>
    </row>
    <row r="352" spans="1:7" ht="12.75">
      <c r="A352" s="75"/>
      <c r="B352" s="75"/>
      <c r="C352" s="75"/>
      <c r="D352" s="75"/>
      <c r="E352" s="75"/>
      <c r="F352" s="75"/>
      <c r="G352" s="75"/>
    </row>
    <row r="353" spans="1:7" ht="12.75">
      <c r="A353" s="75"/>
      <c r="B353" s="75"/>
      <c r="C353" s="75"/>
      <c r="D353" s="75"/>
      <c r="E353" s="75"/>
      <c r="F353" s="75"/>
      <c r="G353" s="75"/>
    </row>
    <row r="354" spans="1:7" ht="12.75">
      <c r="A354" s="75"/>
      <c r="B354" s="75"/>
      <c r="C354" s="75"/>
      <c r="D354" s="75"/>
      <c r="E354" s="75"/>
      <c r="F354" s="75"/>
      <c r="G354" s="75"/>
    </row>
    <row r="355" spans="1:7" ht="12.75">
      <c r="A355" s="75"/>
      <c r="B355" s="75"/>
      <c r="C355" s="75"/>
      <c r="D355" s="75"/>
      <c r="E355" s="75"/>
      <c r="F355" s="75"/>
      <c r="G355" s="75"/>
    </row>
    <row r="356" spans="1:7" ht="12.75">
      <c r="A356" s="75"/>
      <c r="B356" s="75"/>
      <c r="C356" s="75"/>
      <c r="D356" s="75"/>
      <c r="E356" s="75"/>
      <c r="F356" s="75"/>
      <c r="G356" s="75"/>
    </row>
    <row r="357" spans="1:7" ht="12.75">
      <c r="A357" s="75"/>
      <c r="B357" s="75"/>
      <c r="C357" s="75"/>
      <c r="D357" s="75"/>
      <c r="E357" s="75"/>
      <c r="F357" s="75"/>
      <c r="G357" s="75"/>
    </row>
    <row r="358" spans="1:7" ht="12.75">
      <c r="A358" s="75"/>
      <c r="B358" s="75"/>
      <c r="C358" s="75"/>
      <c r="D358" s="75"/>
      <c r="E358" s="75"/>
      <c r="F358" s="75"/>
      <c r="G358" s="75"/>
    </row>
    <row r="359" spans="1:7" ht="12.75">
      <c r="A359" s="75"/>
      <c r="B359" s="75"/>
      <c r="C359" s="75"/>
      <c r="D359" s="75"/>
      <c r="E359" s="75"/>
      <c r="F359" s="75"/>
      <c r="G359" s="75"/>
    </row>
    <row r="360" spans="1:7" ht="12.75">
      <c r="A360" s="75"/>
      <c r="B360" s="75"/>
      <c r="C360" s="75"/>
      <c r="D360" s="75"/>
      <c r="E360" s="75"/>
      <c r="F360" s="75"/>
      <c r="G360" s="75"/>
    </row>
    <row r="361" spans="1:7" ht="12.75">
      <c r="A361" s="75"/>
      <c r="B361" s="75"/>
      <c r="C361" s="75"/>
      <c r="D361" s="75"/>
      <c r="E361" s="75"/>
      <c r="F361" s="75"/>
      <c r="G361" s="75"/>
    </row>
  </sheetData>
  <mergeCells count="2">
    <mergeCell ref="A1:F1"/>
    <mergeCell ref="A2:F2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6" sqref="A6"/>
    </sheetView>
  </sheetViews>
  <sheetFormatPr defaultColWidth="9.140625" defaultRowHeight="12.75"/>
  <cols>
    <col min="1" max="4" width="18.7109375" style="0" customWidth="1"/>
  </cols>
  <sheetData>
    <row r="1" spans="1:4" ht="18.75">
      <c r="A1" s="213" t="s">
        <v>19</v>
      </c>
      <c r="B1" s="214"/>
      <c r="C1" s="214"/>
      <c r="D1" s="215"/>
    </row>
    <row r="2" spans="1:4" ht="12.75">
      <c r="A2" s="205" t="s">
        <v>78</v>
      </c>
      <c r="B2" s="206"/>
      <c r="C2" s="206"/>
      <c r="D2" s="207"/>
    </row>
    <row r="3" spans="1:4" ht="12.75">
      <c r="A3" s="80" t="s">
        <v>18</v>
      </c>
      <c r="B3" s="89"/>
      <c r="C3" s="89"/>
      <c r="D3" s="90"/>
    </row>
    <row r="4" spans="1:4" ht="12.75">
      <c r="A4" s="83"/>
      <c r="B4" s="91"/>
      <c r="C4" s="91"/>
      <c r="D4" s="92"/>
    </row>
    <row r="5" spans="1:4" ht="18" customHeight="1">
      <c r="A5" s="68" t="s">
        <v>79</v>
      </c>
      <c r="B5" s="68" t="s">
        <v>16</v>
      </c>
      <c r="C5" s="68" t="s">
        <v>80</v>
      </c>
      <c r="D5" s="68" t="s">
        <v>81</v>
      </c>
    </row>
    <row r="6" spans="1:4" ht="12.75">
      <c r="A6" s="93" t="s">
        <v>281</v>
      </c>
      <c r="B6" s="104"/>
      <c r="C6" s="93"/>
      <c r="D6" s="93"/>
    </row>
    <row r="7" spans="1:4" ht="12.75">
      <c r="A7" s="93"/>
      <c r="B7" s="104"/>
      <c r="C7" s="93"/>
      <c r="D7" s="93"/>
    </row>
    <row r="8" spans="1:4" ht="12.75">
      <c r="A8" s="93"/>
      <c r="B8" s="104"/>
      <c r="C8" s="93"/>
      <c r="D8" s="93"/>
    </row>
    <row r="9" spans="1:4" ht="12.75">
      <c r="A9" s="93"/>
      <c r="B9" s="104"/>
      <c r="C9" s="93"/>
      <c r="D9" s="93"/>
    </row>
    <row r="10" spans="1:4" ht="12.75">
      <c r="A10" s="93"/>
      <c r="B10" s="104"/>
      <c r="C10" s="93"/>
      <c r="D10" s="93"/>
    </row>
    <row r="11" ht="12.75">
      <c r="A11" s="62" t="s">
        <v>55</v>
      </c>
    </row>
  </sheetData>
  <mergeCells count="2">
    <mergeCell ref="A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Obligatoriske oversigter (udfyldt)</dc:title>
  <dc:subject/>
  <dc:creator>EF</dc:creator>
  <cp:keywords/>
  <dc:description/>
  <cp:lastModifiedBy>MM</cp:lastModifiedBy>
  <cp:lastPrinted>2007-02-28T12:51:52Z</cp:lastPrinted>
  <dcterms:created xsi:type="dcterms:W3CDTF">2006-12-21T13:12:48Z</dcterms:created>
  <dcterms:modified xsi:type="dcterms:W3CDTF">2007-03-05T13:56:04Z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-674117056</vt:i4>
  </property>
  <property fmtid="{D5CDD505-2E9C-101B-9397-08002B2CF9AE}" pid="4" name="_EmailSubje">
    <vt:lpwstr>Vedr. Obligatoriske oversigter 2006 Kultur- og Fritidsudvalget (udfyldt)</vt:lpwstr>
  </property>
  <property fmtid="{D5CDD505-2E9C-101B-9397-08002B2CF9AE}" pid="5" name="_AuthorEma">
    <vt:lpwstr>marimo@kff.kk.dk</vt:lpwstr>
  </property>
  <property fmtid="{D5CDD505-2E9C-101B-9397-08002B2CF9AE}" pid="6" name="_AuthorEmailDisplayNa">
    <vt:lpwstr>Marianne Mørkeberg</vt:lpwstr>
  </property>
</Properties>
</file>