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305" activeTab="0"/>
  </bookViews>
  <sheets>
    <sheet name="Bilagstabel 1" sheetId="1" r:id="rId1"/>
    <sheet name="Bilagstabel 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Henrik Kilian Eck</author>
  </authors>
  <commentList>
    <comment ref="G32" authorId="0">
      <text>
        <r>
          <rPr>
            <b/>
            <sz val="8"/>
            <rFont val="Tahoma"/>
            <family val="0"/>
          </rPr>
          <t>Henrik Kilian Eck:</t>
        </r>
        <r>
          <rPr>
            <sz val="8"/>
            <rFont val="Tahoma"/>
            <family val="0"/>
          </rPr>
          <t xml:space="preserve">
Inkl. ØABS supplerende passagemuligheder. 15.900.000</t>
        </r>
      </text>
    </comment>
  </commentList>
</comments>
</file>

<file path=xl/sharedStrings.xml><?xml version="1.0" encoding="utf-8"?>
<sst xmlns="http://schemas.openxmlformats.org/spreadsheetml/2006/main" count="161" uniqueCount="104">
  <si>
    <t>Bilagstabel 1. Driftsposter udspecificeret</t>
  </si>
  <si>
    <t>(1.000 kr)</t>
  </si>
  <si>
    <t>Regnskabstal</t>
  </si>
  <si>
    <t>Budgettal</t>
  </si>
  <si>
    <t>Seneste estimat</t>
  </si>
  <si>
    <t>0101-3009 2004</t>
  </si>
  <si>
    <t>0101-3009 2005</t>
  </si>
  <si>
    <t>METRO DRIFT</t>
  </si>
  <si>
    <t>Takstindbetalinger</t>
  </si>
  <si>
    <t>Øvrige indtægter</t>
  </si>
  <si>
    <t>Indtægter, i alt</t>
  </si>
  <si>
    <t>Betaling for drift</t>
  </si>
  <si>
    <t>Øvrige driftsomkostninger</t>
  </si>
  <si>
    <t>Omkostninger, i alt</t>
  </si>
  <si>
    <t>Resultat før afskrivninger</t>
  </si>
  <si>
    <t>Afskrivninger</t>
  </si>
  <si>
    <t>Resultat, Metro Drift</t>
  </si>
  <si>
    <t>ØRESTAD</t>
  </si>
  <si>
    <t>Arealsalgsindtægter</t>
  </si>
  <si>
    <t>Tilbageført grundskyld</t>
  </si>
  <si>
    <t>Omkostninger ved arealsalg</t>
  </si>
  <si>
    <t>Afgang i arealer</t>
  </si>
  <si>
    <t>Infrastrukturomkostninger</t>
  </si>
  <si>
    <t>Resultat Ørestadsparkering A/S</t>
  </si>
  <si>
    <t>Regnskabsmæssigt resultat</t>
  </si>
  <si>
    <t>Værdiregulering af arealer</t>
  </si>
  <si>
    <t>Resultat efter værdiregulering</t>
  </si>
  <si>
    <t>IKKE FORDELTE OMKOSTNINGER</t>
  </si>
  <si>
    <t>Personaleomkostninger</t>
  </si>
  <si>
    <t>Øvrige administrationsomkostninger</t>
  </si>
  <si>
    <t>1. rækkeovertagelser 3. etape (netto)</t>
  </si>
  <si>
    <t>Finansielle poster (ekskl. markedsværdiregulering)</t>
  </si>
  <si>
    <t>Markedsværdiregulering (dagsværdiregulering)</t>
  </si>
  <si>
    <t>Resultat, Ikke fordelte poster</t>
  </si>
  <si>
    <t>RESULTAT, I ALT</t>
  </si>
  <si>
    <t>Indtægter</t>
  </si>
  <si>
    <t>Omkostninger</t>
  </si>
  <si>
    <t>Resultat før afskrivninger og finansiering</t>
  </si>
  <si>
    <t>Resultat før finansielle poster</t>
  </si>
  <si>
    <t>Resultat før markedsværdiregulering</t>
  </si>
  <si>
    <t>Periodens resultat</t>
  </si>
  <si>
    <t>Andre ejeres andel af koncernens resultat</t>
  </si>
  <si>
    <t>Selskabets andel af periodens resultat</t>
  </si>
  <si>
    <t>Reg. til og med 2004</t>
  </si>
  <si>
    <t>Periodens tal</t>
  </si>
  <si>
    <t>Hele året</t>
  </si>
  <si>
    <t>Færdiggørelses-grad til dato</t>
  </si>
  <si>
    <t>Total anlægssum</t>
  </si>
  <si>
    <t>(Mio. kr.)</t>
  </si>
  <si>
    <t xml:space="preserve">Realiseret </t>
  </si>
  <si>
    <t>Budget</t>
  </si>
  <si>
    <t xml:space="preserve">Budget </t>
  </si>
  <si>
    <t>Prognose</t>
  </si>
  <si>
    <t>Rådgivere</t>
  </si>
  <si>
    <t>Anlægsomkostninger</t>
  </si>
  <si>
    <t>Andre udgifter</t>
  </si>
  <si>
    <t>Anlæg - etape 1, i alt</t>
  </si>
  <si>
    <t>Anlæg - etape 2,  i alt</t>
  </si>
  <si>
    <t>Anlæg - etape 3</t>
  </si>
  <si>
    <t>Anlæg - etape 3, i alt</t>
  </si>
  <si>
    <t>Anlæg af Metro, i alt</t>
  </si>
  <si>
    <t>Note 1: Forbrugs- og budgettal er ekskl. omkostninger til mobilisering af driften, omkostninger til valutakursregulering på anlægskontrakterne samt omkostninger afholdt på vegne af Comet.</t>
  </si>
  <si>
    <t>Tal til kvartalsrapport 3. kvartal 2005</t>
  </si>
  <si>
    <t>Anlægsinvesteringsoplysninger:</t>
  </si>
  <si>
    <t>Budgetusikkerhed (%)</t>
  </si>
  <si>
    <t>Forventet åbningsdato</t>
  </si>
  <si>
    <t>Aktuel</t>
  </si>
  <si>
    <t>Etape 1</t>
  </si>
  <si>
    <t>-</t>
  </si>
  <si>
    <t>21.10.02</t>
  </si>
  <si>
    <t>Etape 2</t>
  </si>
  <si>
    <t>29.05.03/12.10.03</t>
  </si>
  <si>
    <t>Etape 3</t>
  </si>
  <si>
    <r>
      <t>-10 pct./+21 pct.</t>
    </r>
    <r>
      <rPr>
        <vertAlign val="superscript"/>
        <sz val="10"/>
        <rFont val="Arial"/>
        <family val="2"/>
      </rPr>
      <t>1</t>
    </r>
  </si>
  <si>
    <t>ult. 07</t>
  </si>
  <si>
    <t>Ørestadsparkering A/S</t>
  </si>
  <si>
    <t>Note 1: Beregnet ud fra de risikotillæg der er nævnt i aktstykke 135 af 8. maj 2002.</t>
  </si>
  <si>
    <r>
      <t xml:space="preserve">Budget </t>
    </r>
    <r>
      <rPr>
        <b/>
        <vertAlign val="superscript"/>
        <sz val="10"/>
        <rFont val="Arial"/>
        <family val="2"/>
      </rPr>
      <t>2</t>
    </r>
  </si>
  <si>
    <t>Infrastruktur</t>
  </si>
  <si>
    <t>Øvrige omkostninger</t>
  </si>
  <si>
    <r>
      <t>Infrastrukturomkostninger, i alt</t>
    </r>
    <r>
      <rPr>
        <b/>
        <vertAlign val="superscript"/>
        <sz val="10"/>
        <rFont val="Arial"/>
        <family val="2"/>
      </rPr>
      <t>1</t>
    </r>
  </si>
  <si>
    <r>
      <t>Ørestadsparkering A/S</t>
    </r>
    <r>
      <rPr>
        <b/>
        <vertAlign val="superscript"/>
        <sz val="10"/>
        <rFont val="Arial"/>
        <family val="2"/>
      </rPr>
      <t>3</t>
    </r>
  </si>
  <si>
    <t>Note 1: Infrastrukturomkostningerne er ekskl. salgs- og markedsføringsomkostninger og Ørestadsparkering A/S</t>
  </si>
  <si>
    <t>Note 2: Med den budgetterede anlægssum menes der budgetramme jf. Lov om Ørestaden mv., lov nr. 1074 af 20 december 1995.</t>
  </si>
  <si>
    <t>Note 3: Foreligger ikke.</t>
  </si>
  <si>
    <t>Langsigtet prognose for anlægsinvesteringer og reinvesteringer</t>
  </si>
  <si>
    <r>
      <t xml:space="preserve"> - 2004</t>
    </r>
    <r>
      <rPr>
        <b/>
        <vertAlign val="superscript"/>
        <sz val="10"/>
        <rFont val="Arial"/>
        <family val="2"/>
      </rPr>
      <t>1</t>
    </r>
  </si>
  <si>
    <t>Forv. anlægsinvesteringer</t>
  </si>
  <si>
    <t>Real. anlægsinvesteringer</t>
  </si>
  <si>
    <t>Forv. færdiggørelsesgrad</t>
  </si>
  <si>
    <t>Real. færdiggørelsesgrad</t>
  </si>
  <si>
    <t>Forventet total anlægssum</t>
  </si>
  <si>
    <t>Forv. infrastrukturinvest.</t>
  </si>
  <si>
    <t>Real. infrastrukturinvest.</t>
  </si>
  <si>
    <r>
      <t>Forventet total infrastrukturinv.</t>
    </r>
    <r>
      <rPr>
        <vertAlign val="superscript"/>
        <sz val="10"/>
        <rFont val="Arial"/>
        <family val="2"/>
      </rPr>
      <t>2</t>
    </r>
  </si>
  <si>
    <r>
      <t>Forventet reinvesteringer</t>
    </r>
    <r>
      <rPr>
        <vertAlign val="superscript"/>
        <sz val="10"/>
        <rFont val="Arial"/>
        <family val="2"/>
      </rPr>
      <t>3</t>
    </r>
  </si>
  <si>
    <t>Realiserede reinvesteringer</t>
  </si>
  <si>
    <t>Note 1: Forbruget er opgjort til og med 31/12 2004</t>
  </si>
  <si>
    <t>Note 2: Forventet total infrastrukturinvesteringer svarer til anlægsomkostningerne jf. tabel XX.</t>
  </si>
  <si>
    <t>Note 3: Reinvesteringer indgår ikke i selskabets likviditetsbudget.</t>
  </si>
  <si>
    <t>Bilagstabel 2 Anlægsoplysninger</t>
  </si>
  <si>
    <t>Kvartalsrapportering for Ørestadsselskabet I/S, 3. kvartal 2005</t>
  </si>
  <si>
    <r>
      <t>Anlæg - etape 1</t>
    </r>
    <r>
      <rPr>
        <b/>
        <vertAlign val="superscript"/>
        <sz val="9"/>
        <rFont val="Arial"/>
        <family val="0"/>
      </rPr>
      <t>1</t>
    </r>
  </si>
  <si>
    <r>
      <t>Anlæg - etape 2</t>
    </r>
    <r>
      <rPr>
        <b/>
        <vertAlign val="superscript"/>
        <sz val="9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</si>
</sst>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F800]dddd\,\ mmmm\ dd\,\ yyyy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1" fontId="0" fillId="0" borderId="1" xfId="0" applyNumberForma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/>
    </xf>
    <xf numFmtId="41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0" fillId="0" borderId="1" xfId="20" applyBorder="1" applyAlignment="1">
      <alignment/>
    </xf>
    <xf numFmtId="9" fontId="0" fillId="0" borderId="1" xfId="20" applyFont="1" applyBorder="1" applyAlignment="1">
      <alignment horizontal="right" indent="1"/>
    </xf>
    <xf numFmtId="0" fontId="2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0" fillId="2" borderId="1" xfId="0" applyFill="1" applyBorder="1" applyAlignment="1">
      <alignment/>
    </xf>
    <xf numFmtId="41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41" fontId="9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1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41" fontId="10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9" fontId="9" fillId="0" borderId="1" xfId="20" applyFont="1" applyFill="1" applyBorder="1" applyAlignment="1">
      <alignment/>
    </xf>
    <xf numFmtId="41" fontId="9" fillId="0" borderId="1" xfId="0" applyNumberFormat="1" applyFont="1" applyBorder="1" applyAlignment="1">
      <alignment/>
    </xf>
    <xf numFmtId="9" fontId="10" fillId="0" borderId="1" xfId="2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  <xf numFmtId="0" fontId="2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wl.000\Lokale%20indstillinger\Temporary%20Internet%20Files\OLKC\Skemaopstilling%203.%20kvartal%2020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nskabtal"/>
      <sheetName val="Balancetal"/>
      <sheetName val="Finans"/>
      <sheetName val="Nøgletal"/>
      <sheetName val="Anlæg"/>
      <sheetName val="Arealsalgsprognose"/>
      <sheetName val="Arealsalg"/>
      <sheetName val="Infrastruktur"/>
      <sheetName val="Følsomhedsbergninger"/>
      <sheetName val="Følsomheder"/>
    </sheetNames>
    <sheetDataSet>
      <sheetData sheetId="4">
        <row r="56">
          <cell r="B56">
            <v>991.2</v>
          </cell>
        </row>
      </sheetData>
      <sheetData sheetId="7">
        <row r="8">
          <cell r="B8">
            <v>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6" sqref="A6"/>
    </sheetView>
  </sheetViews>
  <sheetFormatPr defaultColWidth="9.140625" defaultRowHeight="12.75"/>
  <cols>
    <col min="1" max="1" width="38.00390625" style="24" customWidth="1"/>
    <col min="2" max="16384" width="10.57421875" style="24" customWidth="1"/>
  </cols>
  <sheetData>
    <row r="1" spans="1:7" ht="18">
      <c r="A1" s="47" t="s">
        <v>101</v>
      </c>
      <c r="B1" s="47"/>
      <c r="C1" s="47"/>
      <c r="D1" s="47"/>
      <c r="E1" s="47"/>
      <c r="F1" s="47"/>
      <c r="G1" s="47"/>
    </row>
    <row r="2" spans="1:7" ht="18">
      <c r="A2" s="2"/>
      <c r="B2" s="2"/>
      <c r="C2" s="2"/>
      <c r="D2" s="2"/>
      <c r="E2" s="2"/>
      <c r="F2" s="2"/>
      <c r="G2" s="2"/>
    </row>
    <row r="3" ht="12.75">
      <c r="A3" s="1" t="s">
        <v>0</v>
      </c>
    </row>
    <row r="4" ht="12.75">
      <c r="A4" s="1"/>
    </row>
    <row r="5" spans="1:7" ht="25.5" customHeight="1">
      <c r="A5" s="25" t="s">
        <v>1</v>
      </c>
      <c r="B5" s="48" t="s">
        <v>2</v>
      </c>
      <c r="C5" s="49"/>
      <c r="D5" s="50"/>
      <c r="E5" s="51" t="s">
        <v>3</v>
      </c>
      <c r="F5" s="51"/>
      <c r="G5" s="27" t="s">
        <v>4</v>
      </c>
    </row>
    <row r="6" spans="1:7" ht="26.25" customHeight="1">
      <c r="A6" s="25"/>
      <c r="B6" s="26">
        <v>2004</v>
      </c>
      <c r="C6" s="27" t="s">
        <v>5</v>
      </c>
      <c r="D6" s="27" t="s">
        <v>6</v>
      </c>
      <c r="E6" s="27" t="s">
        <v>6</v>
      </c>
      <c r="F6" s="26">
        <v>2005</v>
      </c>
      <c r="G6" s="26">
        <v>2005</v>
      </c>
    </row>
    <row r="7" spans="1:7" ht="12.75">
      <c r="A7" s="28" t="s">
        <v>7</v>
      </c>
      <c r="B7" s="25"/>
      <c r="C7" s="25"/>
      <c r="D7" s="25"/>
      <c r="E7" s="25"/>
      <c r="F7" s="25"/>
      <c r="G7" s="25"/>
    </row>
    <row r="8" spans="1:7" ht="12.75">
      <c r="A8" s="25" t="s">
        <v>8</v>
      </c>
      <c r="B8" s="29">
        <v>270161</v>
      </c>
      <c r="C8" s="29">
        <v>201335</v>
      </c>
      <c r="D8" s="29">
        <v>203773</v>
      </c>
      <c r="E8" s="29">
        <v>245368</v>
      </c>
      <c r="F8" s="29">
        <v>359465</v>
      </c>
      <c r="G8" s="29">
        <v>296900</v>
      </c>
    </row>
    <row r="9" spans="1:7" ht="12.75">
      <c r="A9" s="25" t="s">
        <v>9</v>
      </c>
      <c r="B9" s="29">
        <f>56778</f>
        <v>56778</v>
      </c>
      <c r="C9" s="29">
        <v>67918</v>
      </c>
      <c r="D9" s="29">
        <v>43843</v>
      </c>
      <c r="E9" s="29">
        <f>74402+112+75</f>
        <v>74589</v>
      </c>
      <c r="F9" s="29">
        <v>117623</v>
      </c>
      <c r="G9" s="29">
        <f>67074+100</f>
        <v>67174</v>
      </c>
    </row>
    <row r="10" spans="1:7" ht="12.75">
      <c r="A10" s="28" t="s">
        <v>10</v>
      </c>
      <c r="B10" s="30">
        <f aca="true" t="shared" si="0" ref="B10:G10">SUM(B8:B9)</f>
        <v>326939</v>
      </c>
      <c r="C10" s="30">
        <f t="shared" si="0"/>
        <v>269253</v>
      </c>
      <c r="D10" s="30">
        <f t="shared" si="0"/>
        <v>247616</v>
      </c>
      <c r="E10" s="30">
        <f t="shared" si="0"/>
        <v>319957</v>
      </c>
      <c r="F10" s="30">
        <f t="shared" si="0"/>
        <v>477088</v>
      </c>
      <c r="G10" s="30">
        <f t="shared" si="0"/>
        <v>364074</v>
      </c>
    </row>
    <row r="11" spans="1:7" ht="12.75">
      <c r="A11" s="25" t="s">
        <v>11</v>
      </c>
      <c r="B11" s="29">
        <v>-270161</v>
      </c>
      <c r="C11" s="29">
        <v>-211924</v>
      </c>
      <c r="D11" s="29">
        <v>-187330</v>
      </c>
      <c r="E11" s="29">
        <v>-245367</v>
      </c>
      <c r="F11" s="29">
        <v>-359465</v>
      </c>
      <c r="G11" s="29">
        <f>-80593-216308</f>
        <v>-296901</v>
      </c>
    </row>
    <row r="12" spans="1:7" ht="12.75">
      <c r="A12" s="25" t="s">
        <v>12</v>
      </c>
      <c r="B12" s="29">
        <v>-41612</v>
      </c>
      <c r="C12" s="29">
        <f>-242266-C11</f>
        <v>-30342</v>
      </c>
      <c r="D12" s="29">
        <f>-213393-D11</f>
        <v>-26063</v>
      </c>
      <c r="E12" s="31">
        <f>-10926-10037-112-176-6235-75</f>
        <v>-27561</v>
      </c>
      <c r="F12" s="31">
        <v>-34360</v>
      </c>
      <c r="G12" s="29">
        <f>-18965-9065-200-6200-350-2250-100</f>
        <v>-37130</v>
      </c>
    </row>
    <row r="13" spans="1:7" ht="12.75">
      <c r="A13" s="28" t="s">
        <v>13</v>
      </c>
      <c r="B13" s="30">
        <f aca="true" t="shared" si="1" ref="B13:G13">SUM(B11:B12)</f>
        <v>-311773</v>
      </c>
      <c r="C13" s="30">
        <f t="shared" si="1"/>
        <v>-242266</v>
      </c>
      <c r="D13" s="30">
        <f>SUM(D11:D12)</f>
        <v>-213393</v>
      </c>
      <c r="E13" s="30">
        <f t="shared" si="1"/>
        <v>-272928</v>
      </c>
      <c r="F13" s="30">
        <f t="shared" si="1"/>
        <v>-393825</v>
      </c>
      <c r="G13" s="30">
        <f t="shared" si="1"/>
        <v>-334031</v>
      </c>
    </row>
    <row r="14" spans="1:7" ht="12.75">
      <c r="A14" s="28" t="s">
        <v>14</v>
      </c>
      <c r="B14" s="30">
        <f aca="true" t="shared" si="2" ref="B14:G14">B10+B13</f>
        <v>15166</v>
      </c>
      <c r="C14" s="30">
        <f t="shared" si="2"/>
        <v>26987</v>
      </c>
      <c r="D14" s="30">
        <f t="shared" si="2"/>
        <v>34223</v>
      </c>
      <c r="E14" s="30">
        <f t="shared" si="2"/>
        <v>47029</v>
      </c>
      <c r="F14" s="30">
        <f t="shared" si="2"/>
        <v>83263</v>
      </c>
      <c r="G14" s="30">
        <f t="shared" si="2"/>
        <v>30043</v>
      </c>
    </row>
    <row r="15" spans="1:7" ht="12.75">
      <c r="A15" s="28" t="s">
        <v>15</v>
      </c>
      <c r="B15" s="30">
        <v>-374532</v>
      </c>
      <c r="C15" s="30">
        <f>-284185+205</f>
        <v>-283980</v>
      </c>
      <c r="D15" s="30">
        <f>-279389+321</f>
        <v>-279068</v>
      </c>
      <c r="E15" s="32">
        <f>C15</f>
        <v>-283980</v>
      </c>
      <c r="F15" s="30">
        <v>-374848</v>
      </c>
      <c r="G15" s="30">
        <v>-374848</v>
      </c>
    </row>
    <row r="16" spans="1:7" ht="12.75">
      <c r="A16" s="28" t="s">
        <v>16</v>
      </c>
      <c r="B16" s="30">
        <f aca="true" t="shared" si="3" ref="B16:G16">B14+B15</f>
        <v>-359366</v>
      </c>
      <c r="C16" s="30">
        <f t="shared" si="3"/>
        <v>-256993</v>
      </c>
      <c r="D16" s="30">
        <f t="shared" si="3"/>
        <v>-244845</v>
      </c>
      <c r="E16" s="30">
        <f t="shared" si="3"/>
        <v>-236951</v>
      </c>
      <c r="F16" s="30">
        <f t="shared" si="3"/>
        <v>-291585</v>
      </c>
      <c r="G16" s="30">
        <f t="shared" si="3"/>
        <v>-344805</v>
      </c>
    </row>
    <row r="17" spans="1:7" ht="12.75">
      <c r="A17" s="25"/>
      <c r="B17" s="29"/>
      <c r="C17" s="29"/>
      <c r="D17" s="29"/>
      <c r="E17" s="29"/>
      <c r="F17" s="29"/>
      <c r="G17" s="29"/>
    </row>
    <row r="18" spans="1:7" ht="12.75">
      <c r="A18" s="28" t="s">
        <v>17</v>
      </c>
      <c r="B18" s="29"/>
      <c r="C18" s="29"/>
      <c r="D18" s="29"/>
      <c r="E18" s="29"/>
      <c r="F18" s="29"/>
      <c r="G18" s="29"/>
    </row>
    <row r="19" spans="1:7" ht="12.75">
      <c r="A19" s="25" t="s">
        <v>18</v>
      </c>
      <c r="B19" s="29">
        <v>225321</v>
      </c>
      <c r="C19" s="29">
        <f>210831-C20</f>
        <v>189772</v>
      </c>
      <c r="D19" s="29">
        <f>387810-D20</f>
        <v>359771</v>
      </c>
      <c r="E19" s="29">
        <f>3537+279000</f>
        <v>282537</v>
      </c>
      <c r="F19" s="29">
        <v>385715</v>
      </c>
      <c r="G19" s="29">
        <f>832800-G20</f>
        <v>804800</v>
      </c>
    </row>
    <row r="20" spans="1:7" ht="12.75">
      <c r="A20" s="25" t="s">
        <v>19</v>
      </c>
      <c r="B20" s="29">
        <v>21059</v>
      </c>
      <c r="C20" s="29">
        <v>21059</v>
      </c>
      <c r="D20" s="29">
        <v>28039</v>
      </c>
      <c r="E20" s="29">
        <v>23000</v>
      </c>
      <c r="F20" s="29">
        <v>23000</v>
      </c>
      <c r="G20" s="29">
        <v>28000</v>
      </c>
    </row>
    <row r="21" spans="1:7" ht="12.75">
      <c r="A21" s="28" t="s">
        <v>10</v>
      </c>
      <c r="B21" s="30">
        <f aca="true" t="shared" si="4" ref="B21:G21">SUM(B19:B20)</f>
        <v>246380</v>
      </c>
      <c r="C21" s="30">
        <f t="shared" si="4"/>
        <v>210831</v>
      </c>
      <c r="D21" s="30">
        <f t="shared" si="4"/>
        <v>387810</v>
      </c>
      <c r="E21" s="30">
        <f t="shared" si="4"/>
        <v>305537</v>
      </c>
      <c r="F21" s="30">
        <f t="shared" si="4"/>
        <v>408715</v>
      </c>
      <c r="G21" s="30">
        <f t="shared" si="4"/>
        <v>832800</v>
      </c>
    </row>
    <row r="22" spans="1:7" ht="12.75">
      <c r="A22" s="25" t="s">
        <v>20</v>
      </c>
      <c r="B22" s="29">
        <v>-11695</v>
      </c>
      <c r="C22" s="29">
        <v>-6443</v>
      </c>
      <c r="D22" s="29">
        <v>-10406</v>
      </c>
      <c r="E22" s="29">
        <f>-4653-1501-525-75-2100</f>
        <v>-8854</v>
      </c>
      <c r="F22" s="29">
        <v>-12022</v>
      </c>
      <c r="G22" s="29">
        <v>-17509</v>
      </c>
    </row>
    <row r="23" spans="1:7" ht="12.75">
      <c r="A23" s="25" t="s">
        <v>21</v>
      </c>
      <c r="B23" s="29">
        <v>-169580</v>
      </c>
      <c r="C23" s="29">
        <v>-162745</v>
      </c>
      <c r="D23" s="29">
        <f>-100879-321</f>
        <v>-101200</v>
      </c>
      <c r="E23" s="29">
        <v>0</v>
      </c>
      <c r="F23" s="29">
        <v>0</v>
      </c>
      <c r="G23" s="29">
        <v>0</v>
      </c>
    </row>
    <row r="24" spans="1:7" ht="12.75">
      <c r="A24" s="25" t="s">
        <v>22</v>
      </c>
      <c r="B24" s="29">
        <v>-169695</v>
      </c>
      <c r="C24" s="29">
        <v>-99907</v>
      </c>
      <c r="D24" s="29">
        <v>-75983</v>
      </c>
      <c r="E24" s="29">
        <f>-11330-89610-8410-400</f>
        <v>-109750</v>
      </c>
      <c r="F24" s="29">
        <v>-142110</v>
      </c>
      <c r="G24" s="29">
        <v>-113499</v>
      </c>
    </row>
    <row r="25" spans="1:7" ht="12.75">
      <c r="A25" s="25" t="s">
        <v>23</v>
      </c>
      <c r="B25" s="29">
        <v>-2554</v>
      </c>
      <c r="C25" s="29">
        <v>-1461</v>
      </c>
      <c r="D25" s="29">
        <v>-2606</v>
      </c>
      <c r="E25" s="29">
        <f>F25/4*3</f>
        <v>-2787.75</v>
      </c>
      <c r="F25" s="29">
        <v>-3717</v>
      </c>
      <c r="G25" s="29">
        <v>-3671</v>
      </c>
    </row>
    <row r="26" spans="1:7" ht="12.75">
      <c r="A26" s="28" t="s">
        <v>13</v>
      </c>
      <c r="B26" s="30">
        <f aca="true" t="shared" si="5" ref="B26:G26">SUM(B22:B25)</f>
        <v>-353524</v>
      </c>
      <c r="C26" s="30">
        <f t="shared" si="5"/>
        <v>-270556</v>
      </c>
      <c r="D26" s="30">
        <f t="shared" si="5"/>
        <v>-190195</v>
      </c>
      <c r="E26" s="30">
        <f t="shared" si="5"/>
        <v>-121391.75</v>
      </c>
      <c r="F26" s="30">
        <f t="shared" si="5"/>
        <v>-157849</v>
      </c>
      <c r="G26" s="30">
        <f t="shared" si="5"/>
        <v>-134679</v>
      </c>
    </row>
    <row r="27" spans="1:7" ht="12.75">
      <c r="A27" s="28" t="s">
        <v>24</v>
      </c>
      <c r="B27" s="30">
        <f aca="true" t="shared" si="6" ref="B27:G27">B21+B26</f>
        <v>-107144</v>
      </c>
      <c r="C27" s="30">
        <f t="shared" si="6"/>
        <v>-59725</v>
      </c>
      <c r="D27" s="30">
        <f t="shared" si="6"/>
        <v>197615</v>
      </c>
      <c r="E27" s="30">
        <f t="shared" si="6"/>
        <v>184145.25</v>
      </c>
      <c r="F27" s="30">
        <f t="shared" si="6"/>
        <v>250866</v>
      </c>
      <c r="G27" s="30">
        <f t="shared" si="6"/>
        <v>698121</v>
      </c>
    </row>
    <row r="28" spans="1:7" ht="12.75">
      <c r="A28" s="28" t="s">
        <v>25</v>
      </c>
      <c r="B28" s="29"/>
      <c r="C28" s="29"/>
      <c r="D28" s="29"/>
      <c r="E28" s="29"/>
      <c r="F28" s="29"/>
      <c r="G28" s="29"/>
    </row>
    <row r="29" spans="1:7" ht="12.75">
      <c r="A29" s="28" t="s">
        <v>26</v>
      </c>
      <c r="B29" s="30">
        <f aca="true" t="shared" si="7" ref="B29:G29">B27+B28</f>
        <v>-107144</v>
      </c>
      <c r="C29" s="30">
        <f t="shared" si="7"/>
        <v>-59725</v>
      </c>
      <c r="D29" s="30">
        <f t="shared" si="7"/>
        <v>197615</v>
      </c>
      <c r="E29" s="30">
        <f t="shared" si="7"/>
        <v>184145.25</v>
      </c>
      <c r="F29" s="30">
        <f t="shared" si="7"/>
        <v>250866</v>
      </c>
      <c r="G29" s="30">
        <f t="shared" si="7"/>
        <v>698121</v>
      </c>
    </row>
    <row r="30" spans="1:7" ht="12.75">
      <c r="A30" s="25"/>
      <c r="B30" s="29"/>
      <c r="C30" s="29"/>
      <c r="D30" s="29"/>
      <c r="E30" s="29"/>
      <c r="F30" s="29"/>
      <c r="G30" s="29"/>
    </row>
    <row r="31" spans="1:7" ht="12.75">
      <c r="A31" s="28" t="s">
        <v>27</v>
      </c>
      <c r="B31" s="29"/>
      <c r="C31" s="29"/>
      <c r="D31" s="29"/>
      <c r="E31" s="29"/>
      <c r="F31" s="29"/>
      <c r="G31" s="29"/>
    </row>
    <row r="32" spans="1:7" ht="12.75">
      <c r="A32" s="25" t="s">
        <v>9</v>
      </c>
      <c r="B32" s="29">
        <f>24055-21040</f>
        <v>3015</v>
      </c>
      <c r="C32" s="29">
        <f>180245+36431-C21-586</f>
        <v>5259</v>
      </c>
      <c r="D32" s="29">
        <f>667516-D8-D9-D19-D20-5-15415</f>
        <v>16670</v>
      </c>
      <c r="E32" s="31">
        <v>8</v>
      </c>
      <c r="F32" s="31">
        <v>10</v>
      </c>
      <c r="G32" s="31">
        <f>10+15900</f>
        <v>15910</v>
      </c>
    </row>
    <row r="33" spans="1:7" ht="12.75">
      <c r="A33" s="25" t="s">
        <v>28</v>
      </c>
      <c r="B33" s="29">
        <v>-34798</v>
      </c>
      <c r="C33" s="29">
        <f>-25544+592</f>
        <v>-24952</v>
      </c>
      <c r="D33" s="29">
        <v>-29181</v>
      </c>
      <c r="E33" s="29">
        <f>-27300-305</f>
        <v>-27605</v>
      </c>
      <c r="F33" s="29">
        <v>-37290</v>
      </c>
      <c r="G33" s="29">
        <f>-39400-610-140-140</f>
        <v>-40290</v>
      </c>
    </row>
    <row r="34" spans="1:7" ht="12.75">
      <c r="A34" s="25" t="s">
        <v>29</v>
      </c>
      <c r="B34" s="29">
        <f>-42156-2410+24256</f>
        <v>-20310</v>
      </c>
      <c r="C34" s="29">
        <f>-155156-C24+1196+1+36291</f>
        <v>-17761</v>
      </c>
      <c r="D34" s="29">
        <f>-113754-D24+19481</f>
        <v>-18290</v>
      </c>
      <c r="E34" s="29">
        <f>-1520-5444-304-213-950-2625-1735-1745</f>
        <v>-14536</v>
      </c>
      <c r="F34" s="29">
        <v>-18399</v>
      </c>
      <c r="G34" s="29">
        <f>-61205+39400+610-115-115-150-150-10</f>
        <v>-21735</v>
      </c>
    </row>
    <row r="35" spans="1:7" ht="12.75">
      <c r="A35" s="25" t="s">
        <v>30</v>
      </c>
      <c r="B35" s="29">
        <f>21040-24256</f>
        <v>-3216</v>
      </c>
      <c r="C35" s="29">
        <f>-1-36291</f>
        <v>-36292</v>
      </c>
      <c r="D35" s="29">
        <f>5+15415-19481</f>
        <v>-4061</v>
      </c>
      <c r="E35" s="29">
        <v>0</v>
      </c>
      <c r="F35" s="29">
        <v>0</v>
      </c>
      <c r="G35" s="29">
        <v>0</v>
      </c>
    </row>
    <row r="36" spans="1:7" ht="12.75">
      <c r="A36" s="25" t="s">
        <v>31</v>
      </c>
      <c r="B36" s="29">
        <f>-1101103-B37+74</f>
        <v>-594692</v>
      </c>
      <c r="C36" s="29">
        <f>-765145-C37+54</f>
        <v>-417853</v>
      </c>
      <c r="D36" s="29">
        <f>40662-1019401+3196-D37</f>
        <v>-460454</v>
      </c>
      <c r="E36" s="31">
        <f>-348000-177000*0.75</f>
        <v>-480750</v>
      </c>
      <c r="F36" s="31">
        <v>-641000</v>
      </c>
      <c r="G36" s="31">
        <v>-641000</v>
      </c>
    </row>
    <row r="37" spans="1:7" ht="12.75">
      <c r="A37" s="25" t="s">
        <v>32</v>
      </c>
      <c r="B37" s="29">
        <v>-506337</v>
      </c>
      <c r="C37" s="29">
        <v>-347238</v>
      </c>
      <c r="D37" s="29">
        <v>-515089</v>
      </c>
      <c r="E37" s="29">
        <v>0</v>
      </c>
      <c r="F37" s="29">
        <v>0</v>
      </c>
      <c r="G37" s="29"/>
    </row>
    <row r="38" spans="1:7" ht="12.75">
      <c r="A38" s="28" t="s">
        <v>33</v>
      </c>
      <c r="B38" s="30">
        <f aca="true" t="shared" si="8" ref="B38:G38">SUM(B32:B37)</f>
        <v>-1156338</v>
      </c>
      <c r="C38" s="30">
        <f t="shared" si="8"/>
        <v>-838837</v>
      </c>
      <c r="D38" s="30">
        <f t="shared" si="8"/>
        <v>-1010405</v>
      </c>
      <c r="E38" s="30">
        <f t="shared" si="8"/>
        <v>-522883</v>
      </c>
      <c r="F38" s="30">
        <f t="shared" si="8"/>
        <v>-696679</v>
      </c>
      <c r="G38" s="30">
        <f t="shared" si="8"/>
        <v>-687115</v>
      </c>
    </row>
    <row r="39" spans="1:7" ht="12.75">
      <c r="A39" s="25"/>
      <c r="B39" s="29"/>
      <c r="C39" s="29"/>
      <c r="D39" s="29"/>
      <c r="E39" s="29"/>
      <c r="F39" s="29"/>
      <c r="G39" s="29"/>
    </row>
    <row r="40" spans="1:7" ht="12.75">
      <c r="A40" s="28" t="s">
        <v>34</v>
      </c>
      <c r="B40" s="30"/>
      <c r="C40" s="29"/>
      <c r="D40" s="29"/>
      <c r="E40" s="29"/>
      <c r="F40" s="29"/>
      <c r="G40" s="29"/>
    </row>
    <row r="41" spans="1:7" ht="12.75">
      <c r="A41" s="25" t="s">
        <v>35</v>
      </c>
      <c r="B41" s="29">
        <f aca="true" t="shared" si="9" ref="B41:G41">B10+B21+B32</f>
        <v>576334</v>
      </c>
      <c r="C41" s="29">
        <f t="shared" si="9"/>
        <v>485343</v>
      </c>
      <c r="D41" s="29">
        <f t="shared" si="9"/>
        <v>652096</v>
      </c>
      <c r="E41" s="29">
        <f t="shared" si="9"/>
        <v>625502</v>
      </c>
      <c r="F41" s="29">
        <f t="shared" si="9"/>
        <v>885813</v>
      </c>
      <c r="G41" s="29">
        <f t="shared" si="9"/>
        <v>1212784</v>
      </c>
    </row>
    <row r="42" spans="1:7" ht="12.75">
      <c r="A42" s="25" t="s">
        <v>36</v>
      </c>
      <c r="B42" s="29">
        <f aca="true" t="shared" si="10" ref="B42:G42">B13+B26+B33+B34+B35</f>
        <v>-723621</v>
      </c>
      <c r="C42" s="29">
        <f t="shared" si="10"/>
        <v>-591827</v>
      </c>
      <c r="D42" s="29">
        <f t="shared" si="10"/>
        <v>-455120</v>
      </c>
      <c r="E42" s="29">
        <f t="shared" si="10"/>
        <v>-436460.75</v>
      </c>
      <c r="F42" s="29">
        <f t="shared" si="10"/>
        <v>-607363</v>
      </c>
      <c r="G42" s="29">
        <f t="shared" si="10"/>
        <v>-530735</v>
      </c>
    </row>
    <row r="43" spans="1:7" ht="12.75">
      <c r="A43" s="28" t="s">
        <v>37</v>
      </c>
      <c r="B43" s="30">
        <f aca="true" t="shared" si="11" ref="B43:G43">SUM(B41:B42)</f>
        <v>-147287</v>
      </c>
      <c r="C43" s="30">
        <f t="shared" si="11"/>
        <v>-106484</v>
      </c>
      <c r="D43" s="30">
        <f t="shared" si="11"/>
        <v>196976</v>
      </c>
      <c r="E43" s="30">
        <f t="shared" si="11"/>
        <v>189041.25</v>
      </c>
      <c r="F43" s="30">
        <f t="shared" si="11"/>
        <v>278450</v>
      </c>
      <c r="G43" s="30">
        <f t="shared" si="11"/>
        <v>682049</v>
      </c>
    </row>
    <row r="44" spans="1:7" ht="12.75">
      <c r="A44" s="25" t="s">
        <v>15</v>
      </c>
      <c r="B44" s="29">
        <f aca="true" t="shared" si="12" ref="B44:G44">B15</f>
        <v>-374532</v>
      </c>
      <c r="C44" s="29">
        <f t="shared" si="12"/>
        <v>-283980</v>
      </c>
      <c r="D44" s="29">
        <f t="shared" si="12"/>
        <v>-279068</v>
      </c>
      <c r="E44" s="29">
        <f t="shared" si="12"/>
        <v>-283980</v>
      </c>
      <c r="F44" s="29">
        <f t="shared" si="12"/>
        <v>-374848</v>
      </c>
      <c r="G44" s="29">
        <f t="shared" si="12"/>
        <v>-374848</v>
      </c>
    </row>
    <row r="45" spans="1:7" ht="12.75">
      <c r="A45" s="28" t="s">
        <v>38</v>
      </c>
      <c r="B45" s="30">
        <f aca="true" t="shared" si="13" ref="B45:G45">B43+B44</f>
        <v>-521819</v>
      </c>
      <c r="C45" s="30">
        <f t="shared" si="13"/>
        <v>-390464</v>
      </c>
      <c r="D45" s="30">
        <f t="shared" si="13"/>
        <v>-82092</v>
      </c>
      <c r="E45" s="30">
        <f t="shared" si="13"/>
        <v>-94938.75</v>
      </c>
      <c r="F45" s="30">
        <f t="shared" si="13"/>
        <v>-96398</v>
      </c>
      <c r="G45" s="30">
        <f t="shared" si="13"/>
        <v>307201</v>
      </c>
    </row>
    <row r="46" spans="1:7" ht="12.75">
      <c r="A46" s="25" t="s">
        <v>31</v>
      </c>
      <c r="B46" s="29">
        <f aca="true" t="shared" si="14" ref="B46:G46">B36</f>
        <v>-594692</v>
      </c>
      <c r="C46" s="29">
        <f t="shared" si="14"/>
        <v>-417853</v>
      </c>
      <c r="D46" s="29">
        <f t="shared" si="14"/>
        <v>-460454</v>
      </c>
      <c r="E46" s="29">
        <f t="shared" si="14"/>
        <v>-480750</v>
      </c>
      <c r="F46" s="29">
        <f t="shared" si="14"/>
        <v>-641000</v>
      </c>
      <c r="G46" s="29">
        <f t="shared" si="14"/>
        <v>-641000</v>
      </c>
    </row>
    <row r="47" spans="1:7" ht="12.75">
      <c r="A47" s="28" t="s">
        <v>39</v>
      </c>
      <c r="B47" s="30">
        <f aca="true" t="shared" si="15" ref="B47:G47">B45+B46</f>
        <v>-1116511</v>
      </c>
      <c r="C47" s="30">
        <f t="shared" si="15"/>
        <v>-808317</v>
      </c>
      <c r="D47" s="30">
        <f t="shared" si="15"/>
        <v>-542546</v>
      </c>
      <c r="E47" s="30">
        <f t="shared" si="15"/>
        <v>-575688.75</v>
      </c>
      <c r="F47" s="30">
        <f t="shared" si="15"/>
        <v>-737398</v>
      </c>
      <c r="G47" s="30">
        <f t="shared" si="15"/>
        <v>-333799</v>
      </c>
    </row>
    <row r="48" spans="1:7" ht="12.75">
      <c r="A48" s="25" t="s">
        <v>32</v>
      </c>
      <c r="B48" s="29">
        <f>B37</f>
        <v>-506337</v>
      </c>
      <c r="C48" s="29">
        <f>C37</f>
        <v>-347238</v>
      </c>
      <c r="D48" s="29">
        <f>D37</f>
        <v>-515089</v>
      </c>
      <c r="E48" s="29">
        <v>0</v>
      </c>
      <c r="F48" s="29">
        <v>0</v>
      </c>
      <c r="G48" s="29">
        <v>0</v>
      </c>
    </row>
    <row r="49" spans="1:7" ht="12.75">
      <c r="A49" s="28" t="s">
        <v>40</v>
      </c>
      <c r="B49" s="30">
        <f aca="true" t="shared" si="16" ref="B49:G49">B47+B48</f>
        <v>-1622848</v>
      </c>
      <c r="C49" s="30">
        <f t="shared" si="16"/>
        <v>-1155555</v>
      </c>
      <c r="D49" s="30">
        <f t="shared" si="16"/>
        <v>-1057635</v>
      </c>
      <c r="E49" s="30">
        <f t="shared" si="16"/>
        <v>-575688.75</v>
      </c>
      <c r="F49" s="30">
        <f t="shared" si="16"/>
        <v>-737398</v>
      </c>
      <c r="G49" s="30">
        <f t="shared" si="16"/>
        <v>-333799</v>
      </c>
    </row>
    <row r="50" spans="1:7" ht="12.75">
      <c r="A50" s="25" t="s">
        <v>41</v>
      </c>
      <c r="B50" s="29">
        <v>-88836</v>
      </c>
      <c r="C50" s="29">
        <v>-79946</v>
      </c>
      <c r="D50" s="29">
        <v>-58455</v>
      </c>
      <c r="E50" s="29">
        <f>(19240-96500-177000/4*3)*0.3</f>
        <v>-63003</v>
      </c>
      <c r="F50" s="29">
        <v>-83779</v>
      </c>
      <c r="G50" s="29">
        <f>(9688-140-115-150-177000-95178/3*4)*0.3+(-140-115-150)*0.45</f>
        <v>-88568.55</v>
      </c>
    </row>
    <row r="51" spans="1:7" ht="12.75">
      <c r="A51" s="28" t="s">
        <v>42</v>
      </c>
      <c r="B51" s="30">
        <f aca="true" t="shared" si="17" ref="B51:G51">B49-B50</f>
        <v>-1534012</v>
      </c>
      <c r="C51" s="30">
        <f t="shared" si="17"/>
        <v>-1075609</v>
      </c>
      <c r="D51" s="30">
        <f t="shared" si="17"/>
        <v>-999180</v>
      </c>
      <c r="E51" s="30">
        <f t="shared" si="17"/>
        <v>-512685.75</v>
      </c>
      <c r="F51" s="30">
        <f t="shared" si="17"/>
        <v>-653619</v>
      </c>
      <c r="G51" s="30">
        <f t="shared" si="17"/>
        <v>-245230.45</v>
      </c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4"/>
      <c r="C53" s="34"/>
      <c r="D53" s="34"/>
      <c r="E53" s="34"/>
      <c r="F53" s="34"/>
      <c r="G53" s="34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5"/>
      <c r="B55" s="33"/>
      <c r="C55" s="33"/>
      <c r="D55" s="33"/>
      <c r="E55" s="33"/>
      <c r="F55" s="33"/>
      <c r="G55" s="33"/>
    </row>
  </sheetData>
  <mergeCells count="3">
    <mergeCell ref="A1:G1"/>
    <mergeCell ref="B5:D5"/>
    <mergeCell ref="E5:F5"/>
  </mergeCells>
  <printOptions/>
  <pageMargins left="0.17" right="0.18" top="0.77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1">
      <selection activeCell="A11" sqref="A11:I11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9.7109375" style="0" customWidth="1"/>
    <col min="4" max="4" width="9.421875" style="0" customWidth="1"/>
    <col min="5" max="5" width="9.57421875" style="0" customWidth="1"/>
    <col min="7" max="7" width="8.7109375" style="0" customWidth="1"/>
    <col min="10" max="10" width="8.7109375" style="0" customWidth="1"/>
  </cols>
  <sheetData>
    <row r="1" spans="1:10" ht="18" hidden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9"/>
    </row>
    <row r="2" spans="1:10" ht="12.75" hidden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 hidden="1">
      <c r="A3" s="10" t="s">
        <v>63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 hidden="1">
      <c r="A4" s="8"/>
      <c r="B4" s="53" t="s">
        <v>64</v>
      </c>
      <c r="C4" s="53"/>
      <c r="D4" s="53" t="s">
        <v>65</v>
      </c>
      <c r="E4" s="53"/>
      <c r="F4" s="9"/>
      <c r="G4" s="9"/>
      <c r="H4" s="9"/>
      <c r="I4" s="9"/>
      <c r="J4" s="9"/>
    </row>
    <row r="5" spans="1:10" ht="12.75" hidden="1">
      <c r="A5" s="8"/>
      <c r="B5" s="11">
        <v>2004</v>
      </c>
      <c r="C5" s="11" t="s">
        <v>66</v>
      </c>
      <c r="D5" s="11">
        <v>2004</v>
      </c>
      <c r="E5" s="11" t="s">
        <v>66</v>
      </c>
      <c r="F5" s="9"/>
      <c r="G5" s="9"/>
      <c r="H5" s="9"/>
      <c r="I5" s="9"/>
      <c r="J5" s="9"/>
    </row>
    <row r="6" spans="1:10" ht="12.75" hidden="1">
      <c r="A6" s="8" t="s">
        <v>67</v>
      </c>
      <c r="B6" s="11" t="s">
        <v>68</v>
      </c>
      <c r="C6" s="11" t="s">
        <v>68</v>
      </c>
      <c r="D6" s="11" t="s">
        <v>69</v>
      </c>
      <c r="E6" s="11" t="s">
        <v>69</v>
      </c>
      <c r="F6" s="9"/>
      <c r="G6" s="9"/>
      <c r="H6" s="9"/>
      <c r="I6" s="9"/>
      <c r="J6" s="9"/>
    </row>
    <row r="7" spans="1:10" ht="12.75" hidden="1">
      <c r="A7" s="8" t="s">
        <v>70</v>
      </c>
      <c r="B7" s="11" t="s">
        <v>68</v>
      </c>
      <c r="C7" s="11" t="s">
        <v>68</v>
      </c>
      <c r="D7" s="12" t="s">
        <v>71</v>
      </c>
      <c r="E7" s="12" t="s">
        <v>71</v>
      </c>
      <c r="F7" s="9"/>
      <c r="G7" s="9"/>
      <c r="H7" s="9"/>
      <c r="I7" s="9"/>
      <c r="J7" s="9"/>
    </row>
    <row r="8" spans="1:10" ht="14.25" hidden="1">
      <c r="A8" s="8" t="s">
        <v>72</v>
      </c>
      <c r="B8" s="54" t="s">
        <v>73</v>
      </c>
      <c r="C8" s="55"/>
      <c r="D8" s="13" t="s">
        <v>74</v>
      </c>
      <c r="E8" s="13" t="s">
        <v>74</v>
      </c>
      <c r="F8" s="9"/>
      <c r="G8" s="9"/>
      <c r="H8" s="9"/>
      <c r="I8" s="9"/>
      <c r="J8" s="9"/>
    </row>
    <row r="9" spans="1:10" ht="12.75" hidden="1">
      <c r="A9" s="8" t="s">
        <v>75</v>
      </c>
      <c r="B9" s="11" t="s">
        <v>68</v>
      </c>
      <c r="C9" s="11" t="s">
        <v>68</v>
      </c>
      <c r="D9" s="11" t="s">
        <v>68</v>
      </c>
      <c r="E9" s="11" t="s">
        <v>68</v>
      </c>
      <c r="F9" s="9"/>
      <c r="G9" s="9"/>
      <c r="H9" s="9"/>
      <c r="I9" s="9"/>
      <c r="J9" s="9"/>
    </row>
    <row r="10" spans="1:10" ht="12.75" hidden="1">
      <c r="A10" s="56" t="s">
        <v>76</v>
      </c>
      <c r="B10" s="57"/>
      <c r="C10" s="57"/>
      <c r="D10" s="57"/>
      <c r="E10" s="57"/>
      <c r="F10" s="9"/>
      <c r="G10" s="9"/>
      <c r="H10" s="9"/>
      <c r="I10" s="9"/>
      <c r="J10" s="9"/>
    </row>
    <row r="11" spans="1:10" ht="18">
      <c r="A11" s="47" t="s">
        <v>101</v>
      </c>
      <c r="B11" s="47"/>
      <c r="C11" s="47"/>
      <c r="D11" s="47"/>
      <c r="E11" s="47"/>
      <c r="F11" s="47"/>
      <c r="G11" s="47"/>
      <c r="H11" s="47"/>
      <c r="I11" s="47"/>
      <c r="J11" s="9"/>
    </row>
    <row r="12" spans="1:10" ht="12.75">
      <c r="A12" s="36"/>
      <c r="B12" s="37"/>
      <c r="C12" s="37"/>
      <c r="D12" s="37"/>
      <c r="E12" s="37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="58" customFormat="1" ht="12.75">
      <c r="A14" s="58" t="s">
        <v>100</v>
      </c>
    </row>
    <row r="15" s="7" customFormat="1" ht="12.75"/>
    <row r="16" spans="1:10" ht="26.25" customHeight="1">
      <c r="A16" s="38"/>
      <c r="B16" s="39" t="s">
        <v>43</v>
      </c>
      <c r="C16" s="59" t="s">
        <v>44</v>
      </c>
      <c r="D16" s="60"/>
      <c r="E16" s="61" t="s">
        <v>45</v>
      </c>
      <c r="F16" s="61"/>
      <c r="G16" s="62" t="s">
        <v>46</v>
      </c>
      <c r="H16" s="62"/>
      <c r="I16" s="61" t="s">
        <v>47</v>
      </c>
      <c r="J16" s="61"/>
    </row>
    <row r="17" spans="1:10" ht="12.75">
      <c r="A17" s="38" t="s">
        <v>48</v>
      </c>
      <c r="B17" s="38"/>
      <c r="C17" s="40" t="s">
        <v>49</v>
      </c>
      <c r="D17" s="40" t="s">
        <v>50</v>
      </c>
      <c r="E17" s="40" t="s">
        <v>51</v>
      </c>
      <c r="F17" s="40" t="s">
        <v>52</v>
      </c>
      <c r="G17" s="40" t="s">
        <v>49</v>
      </c>
      <c r="H17" s="40" t="s">
        <v>50</v>
      </c>
      <c r="I17" s="40" t="s">
        <v>51</v>
      </c>
      <c r="J17" s="40" t="s">
        <v>52</v>
      </c>
    </row>
    <row r="18" spans="1:10" ht="13.5">
      <c r="A18" s="41" t="s">
        <v>102</v>
      </c>
      <c r="B18" s="42"/>
      <c r="C18" s="43"/>
      <c r="D18" s="43"/>
      <c r="E18" s="43"/>
      <c r="F18" s="43"/>
      <c r="G18" s="43"/>
      <c r="H18" s="43"/>
      <c r="I18" s="43"/>
      <c r="J18" s="43"/>
    </row>
    <row r="19" spans="1:10" ht="12.75">
      <c r="A19" s="38" t="s">
        <v>53</v>
      </c>
      <c r="B19" s="43"/>
      <c r="C19" s="43">
        <f>7-3</f>
        <v>4</v>
      </c>
      <c r="D19" s="43">
        <f>ROUND(E19/12*9,0)</f>
        <v>4</v>
      </c>
      <c r="E19" s="43">
        <v>5</v>
      </c>
      <c r="F19" s="43">
        <v>7</v>
      </c>
      <c r="G19" s="44">
        <f>(992+C19)/J19</f>
        <v>0.991044776119403</v>
      </c>
      <c r="H19" s="44">
        <f>(992+D19)/I19</f>
        <v>0.991044776119403</v>
      </c>
      <c r="I19" s="43">
        <v>1005</v>
      </c>
      <c r="J19" s="45">
        <v>1005</v>
      </c>
    </row>
    <row r="20" spans="1:10" ht="12.75">
      <c r="A20" s="38" t="s">
        <v>54</v>
      </c>
      <c r="B20" s="43"/>
      <c r="C20" s="43">
        <v>1</v>
      </c>
      <c r="D20" s="43">
        <f>ROUND(E20/12*9,0)</f>
        <v>32</v>
      </c>
      <c r="E20" s="43">
        <v>42</v>
      </c>
      <c r="F20" s="43">
        <v>44</v>
      </c>
      <c r="G20" s="44">
        <f>(3628-283+1625+561+C20)/J20</f>
        <v>0.9883866356976952</v>
      </c>
      <c r="H20" s="44">
        <v>1</v>
      </c>
      <c r="I20" s="43">
        <v>5451</v>
      </c>
      <c r="J20" s="45">
        <v>5597</v>
      </c>
    </row>
    <row r="21" spans="1:10" ht="12.75">
      <c r="A21" s="38" t="s">
        <v>55</v>
      </c>
      <c r="B21" s="43"/>
      <c r="C21" s="43">
        <v>7</v>
      </c>
      <c r="D21" s="43">
        <f>ROUND(E21/12*9,0)</f>
        <v>8</v>
      </c>
      <c r="E21" s="43">
        <v>11</v>
      </c>
      <c r="F21" s="43">
        <v>9</v>
      </c>
      <c r="G21" s="44">
        <f>(348+C21)/J21</f>
        <v>0.9342105263157895</v>
      </c>
      <c r="H21" s="44">
        <f>(348+D21)/I21</f>
        <v>0.9368421052631579</v>
      </c>
      <c r="I21" s="43">
        <v>380</v>
      </c>
      <c r="J21" s="45">
        <v>380</v>
      </c>
    </row>
    <row r="22" spans="1:10" ht="12.75">
      <c r="A22" s="41" t="s">
        <v>56</v>
      </c>
      <c r="B22" s="42">
        <v>6871</v>
      </c>
      <c r="C22" s="42">
        <f>SUM(C19:C21)</f>
        <v>12</v>
      </c>
      <c r="D22" s="42">
        <f aca="true" t="shared" si="0" ref="D22:J22">SUM(D19:D21)</f>
        <v>44</v>
      </c>
      <c r="E22" s="42">
        <f t="shared" si="0"/>
        <v>58</v>
      </c>
      <c r="F22" s="42">
        <f t="shared" si="0"/>
        <v>60</v>
      </c>
      <c r="G22" s="46">
        <f>(992+3628-283+1625+561+348+C22)/J22</f>
        <v>0.9858206817530794</v>
      </c>
      <c r="H22" s="46">
        <v>1</v>
      </c>
      <c r="I22" s="42">
        <f t="shared" si="0"/>
        <v>6836</v>
      </c>
      <c r="J22" s="42">
        <f t="shared" si="0"/>
        <v>6982</v>
      </c>
    </row>
    <row r="23" spans="1:10" ht="13.5">
      <c r="A23" s="41" t="s">
        <v>103</v>
      </c>
      <c r="B23" s="42"/>
      <c r="C23" s="43"/>
      <c r="D23" s="43"/>
      <c r="E23" s="43"/>
      <c r="F23" s="43"/>
      <c r="G23" s="44"/>
      <c r="H23" s="44"/>
      <c r="I23" s="43"/>
      <c r="J23" s="43"/>
    </row>
    <row r="24" spans="1:10" ht="12.75">
      <c r="A24" s="38" t="s">
        <v>53</v>
      </c>
      <c r="B24" s="43"/>
      <c r="C24" s="43">
        <v>2</v>
      </c>
      <c r="D24" s="43">
        <f>ROUND(E24/12*9,0)</f>
        <v>2</v>
      </c>
      <c r="E24" s="43">
        <v>2</v>
      </c>
      <c r="F24" s="43">
        <v>3</v>
      </c>
      <c r="G24" s="44">
        <f>(289+234+C24)/J24</f>
        <v>0.9849906191369606</v>
      </c>
      <c r="H24" s="44">
        <f>(289+234+D24)/I24</f>
        <v>0.9849906191369606</v>
      </c>
      <c r="I24" s="43">
        <v>533</v>
      </c>
      <c r="J24" s="45">
        <v>533</v>
      </c>
    </row>
    <row r="25" spans="1:10" ht="12.75">
      <c r="A25" s="38" t="s">
        <v>54</v>
      </c>
      <c r="B25" s="43"/>
      <c r="C25" s="43">
        <v>7</v>
      </c>
      <c r="D25" s="43">
        <f>ROUND(E25/12*9,0)</f>
        <v>19</v>
      </c>
      <c r="E25" s="43">
        <v>25</v>
      </c>
      <c r="F25" s="43">
        <f>18+3+3</f>
        <v>24</v>
      </c>
      <c r="G25" s="44">
        <f>(943-99+491+367+544+298+C25)/J25</f>
        <v>0.9922209257098406</v>
      </c>
      <c r="H25" s="44">
        <f>(943-99+491+367+544+298+D25)/I25</f>
        <v>0.9303085299455536</v>
      </c>
      <c r="I25" s="43">
        <v>2755</v>
      </c>
      <c r="J25" s="45">
        <v>2571</v>
      </c>
    </row>
    <row r="26" spans="1:10" ht="12.75">
      <c r="A26" s="38" t="s">
        <v>55</v>
      </c>
      <c r="B26" s="43"/>
      <c r="C26" s="43">
        <v>5</v>
      </c>
      <c r="D26" s="43">
        <f>ROUND(E26/12*9,0)</f>
        <v>6</v>
      </c>
      <c r="E26" s="43">
        <v>8</v>
      </c>
      <c r="F26" s="43">
        <v>9</v>
      </c>
      <c r="G26" s="44">
        <f>(76+79+C26)/J26</f>
        <v>0.9248554913294798</v>
      </c>
      <c r="H26" s="44">
        <f>(76+79+D26)/I26</f>
        <v>0.930635838150289</v>
      </c>
      <c r="I26" s="43">
        <v>173</v>
      </c>
      <c r="J26" s="45">
        <v>173</v>
      </c>
    </row>
    <row r="27" spans="1:10" ht="12.75">
      <c r="A27" s="41" t="s">
        <v>57</v>
      </c>
      <c r="B27" s="42">
        <v>3222</v>
      </c>
      <c r="C27" s="42">
        <f>SUM(C24:C26)</f>
        <v>14</v>
      </c>
      <c r="D27" s="42">
        <f aca="true" t="shared" si="1" ref="D27:J27">SUM(D24:D26)</f>
        <v>27</v>
      </c>
      <c r="E27" s="42">
        <f t="shared" si="1"/>
        <v>35</v>
      </c>
      <c r="F27" s="42">
        <f t="shared" si="1"/>
        <v>36</v>
      </c>
      <c r="G27" s="46">
        <f>(289+234+943-99+491+367+544+298+76+79+C27)/J27</f>
        <v>0.9874885566066525</v>
      </c>
      <c r="H27" s="46">
        <f>(289+234+943-99+491+367+544+298+76+79+D27)/I27</f>
        <v>0.9387460271597804</v>
      </c>
      <c r="I27" s="42">
        <f t="shared" si="1"/>
        <v>3461</v>
      </c>
      <c r="J27" s="42">
        <f t="shared" si="1"/>
        <v>3277</v>
      </c>
    </row>
    <row r="28" spans="1:10" ht="12.75">
      <c r="A28" s="41" t="s">
        <v>58</v>
      </c>
      <c r="B28" s="42"/>
      <c r="C28" s="43"/>
      <c r="D28" s="43"/>
      <c r="E28" s="43"/>
      <c r="F28" s="43"/>
      <c r="G28" s="44"/>
      <c r="H28" s="44"/>
      <c r="I28" s="43"/>
      <c r="J28" s="43"/>
    </row>
    <row r="29" spans="1:10" ht="12.75">
      <c r="A29" s="38" t="s">
        <v>53</v>
      </c>
      <c r="B29" s="43"/>
      <c r="C29" s="43">
        <v>26</v>
      </c>
      <c r="D29" s="43">
        <v>9</v>
      </c>
      <c r="E29" s="43">
        <v>41</v>
      </c>
      <c r="F29" s="43">
        <v>40</v>
      </c>
      <c r="G29" s="44">
        <f>(179+C29)/J29</f>
        <v>0.7854406130268199</v>
      </c>
      <c r="H29" s="44">
        <f>(179+D29)/I29</f>
        <v>0.7258687258687259</v>
      </c>
      <c r="I29" s="43">
        <v>259</v>
      </c>
      <c r="J29" s="45">
        <v>261</v>
      </c>
    </row>
    <row r="30" spans="1:10" ht="12.75">
      <c r="A30" s="38" t="s">
        <v>54</v>
      </c>
      <c r="B30" s="43"/>
      <c r="C30" s="43">
        <v>296</v>
      </c>
      <c r="D30" s="43">
        <v>112</v>
      </c>
      <c r="E30" s="43">
        <v>451</v>
      </c>
      <c r="F30" s="43">
        <v>435</v>
      </c>
      <c r="G30" s="44">
        <f>(105+203+291+18-14+C30)/J30</f>
        <v>0.7203525641025641</v>
      </c>
      <c r="H30" s="44">
        <f>(105+203+291+18-14+D30)/I30</f>
        <v>0.5742971887550201</v>
      </c>
      <c r="I30" s="43">
        <v>1245</v>
      </c>
      <c r="J30" s="45">
        <v>1248</v>
      </c>
    </row>
    <row r="31" spans="1:10" ht="12.75">
      <c r="A31" s="38" t="s">
        <v>55</v>
      </c>
      <c r="B31" s="43"/>
      <c r="C31" s="43">
        <v>-22</v>
      </c>
      <c r="D31" s="43">
        <v>13</v>
      </c>
      <c r="E31" s="43">
        <v>59</v>
      </c>
      <c r="F31" s="43">
        <v>14</v>
      </c>
      <c r="G31" s="44">
        <f>(60+18+33+C31)/J31</f>
        <v>0.6180555555555556</v>
      </c>
      <c r="H31" s="44">
        <f>(60+18+33+D31)/I31</f>
        <v>0.8322147651006712</v>
      </c>
      <c r="I31" s="43">
        <v>149</v>
      </c>
      <c r="J31" s="45">
        <v>144</v>
      </c>
    </row>
    <row r="32" spans="1:10" ht="12.75">
      <c r="A32" s="41" t="s">
        <v>59</v>
      </c>
      <c r="B32" s="42">
        <v>893</v>
      </c>
      <c r="C32" s="42">
        <f>SUM(C29:C31)</f>
        <v>300</v>
      </c>
      <c r="D32" s="42">
        <f aca="true" t="shared" si="2" ref="D32:J32">SUM(D29:D31)</f>
        <v>134</v>
      </c>
      <c r="E32" s="42">
        <f t="shared" si="2"/>
        <v>551</v>
      </c>
      <c r="F32" s="42">
        <f t="shared" si="2"/>
        <v>489</v>
      </c>
      <c r="G32" s="46">
        <f>(179+105+203+291+18-14+60+18+33+C32)/J32</f>
        <v>0.7217180883242589</v>
      </c>
      <c r="H32" s="46">
        <f>(179+105+203+291+18-14+60+18+33+D32)/I32</f>
        <v>0.6212946158499697</v>
      </c>
      <c r="I32" s="42">
        <f t="shared" si="2"/>
        <v>1653</v>
      </c>
      <c r="J32" s="42">
        <f t="shared" si="2"/>
        <v>1653</v>
      </c>
    </row>
    <row r="33" spans="1:10" ht="12.75">
      <c r="A33" s="41" t="s">
        <v>60</v>
      </c>
      <c r="B33" s="42">
        <f>B22+B27+B32</f>
        <v>10986</v>
      </c>
      <c r="C33" s="42">
        <f>C22+C27+C32</f>
        <v>326</v>
      </c>
      <c r="D33" s="42">
        <f>D22+D27+D32</f>
        <v>205</v>
      </c>
      <c r="E33" s="42">
        <f>E22+E27+E32</f>
        <v>644</v>
      </c>
      <c r="F33" s="42">
        <f>F22+F27+F32</f>
        <v>585</v>
      </c>
      <c r="G33" s="46">
        <f>10986/J33</f>
        <v>0.9222632639355272</v>
      </c>
      <c r="H33" s="46">
        <f>10986/I33</f>
        <v>0.9193305439330544</v>
      </c>
      <c r="I33" s="42">
        <f>I22+I27+I32</f>
        <v>11950</v>
      </c>
      <c r="J33" s="42">
        <f>J22+J27+J32</f>
        <v>11912</v>
      </c>
    </row>
    <row r="34" spans="1:10" ht="12.75">
      <c r="A34" s="41"/>
      <c r="B34" s="42"/>
      <c r="C34" s="43"/>
      <c r="D34" s="43"/>
      <c r="E34" s="43"/>
      <c r="F34" s="43"/>
      <c r="G34" s="43"/>
      <c r="H34" s="43"/>
      <c r="I34" s="43"/>
      <c r="J34" s="43"/>
    </row>
    <row r="35" spans="1:9" ht="25.5" customHeight="1">
      <c r="A35" s="63" t="s">
        <v>61</v>
      </c>
      <c r="B35" s="64"/>
      <c r="C35" s="64"/>
      <c r="D35" s="64"/>
      <c r="E35" s="64"/>
      <c r="F35" s="64"/>
      <c r="G35" s="64"/>
      <c r="H35" s="64"/>
      <c r="I35" s="64"/>
    </row>
    <row r="36" spans="1:9" ht="12.75" hidden="1">
      <c r="A36" s="14" t="s">
        <v>63</v>
      </c>
      <c r="B36" s="15"/>
      <c r="C36" s="15"/>
      <c r="D36" s="15"/>
      <c r="E36" s="15"/>
      <c r="F36" s="15"/>
      <c r="G36" s="15"/>
      <c r="H36" s="15"/>
      <c r="I36" s="15"/>
    </row>
    <row r="37" spans="1:9" ht="29.25" customHeight="1" hidden="1">
      <c r="A37" s="3"/>
      <c r="B37" s="65" t="s">
        <v>44</v>
      </c>
      <c r="C37" s="65"/>
      <c r="D37" s="65" t="s">
        <v>45</v>
      </c>
      <c r="E37" s="65"/>
      <c r="F37" s="66" t="s">
        <v>46</v>
      </c>
      <c r="G37" s="66"/>
      <c r="H37" s="65" t="s">
        <v>47</v>
      </c>
      <c r="I37" s="65"/>
    </row>
    <row r="38" spans="1:9" ht="13.5" customHeight="1" hidden="1">
      <c r="A38" s="3" t="s">
        <v>48</v>
      </c>
      <c r="B38" s="16" t="s">
        <v>49</v>
      </c>
      <c r="C38" s="16" t="s">
        <v>50</v>
      </c>
      <c r="D38" s="16" t="s">
        <v>51</v>
      </c>
      <c r="E38" s="16" t="s">
        <v>52</v>
      </c>
      <c r="F38" s="16" t="s">
        <v>49</v>
      </c>
      <c r="G38" s="16" t="s">
        <v>50</v>
      </c>
      <c r="H38" s="16" t="s">
        <v>77</v>
      </c>
      <c r="I38" s="16" t="s">
        <v>52</v>
      </c>
    </row>
    <row r="39" spans="1:9" ht="12.75" hidden="1">
      <c r="A39" s="4" t="s">
        <v>78</v>
      </c>
      <c r="B39" s="6"/>
      <c r="C39" s="6"/>
      <c r="D39" s="6"/>
      <c r="E39" s="6"/>
      <c r="F39" s="17"/>
      <c r="G39" s="17"/>
      <c r="H39" s="6"/>
      <c r="I39" s="6"/>
    </row>
    <row r="40" spans="1:9" ht="12.75" hidden="1">
      <c r="A40" s="5" t="s">
        <v>54</v>
      </c>
      <c r="B40" s="6">
        <v>57</v>
      </c>
      <c r="C40" s="6">
        <v>79</v>
      </c>
      <c r="D40" s="6">
        <v>105</v>
      </c>
      <c r="E40" s="6">
        <v>84</v>
      </c>
      <c r="F40" s="17">
        <f>(991+B40)/I40</f>
        <v>0.7572254335260116</v>
      </c>
      <c r="G40" s="17">
        <f>(991+C40)/H40</f>
        <v>0.773121387283237</v>
      </c>
      <c r="H40" s="6">
        <v>1384</v>
      </c>
      <c r="I40" s="6">
        <v>1384</v>
      </c>
    </row>
    <row r="41" spans="1:9" ht="12.75" hidden="1">
      <c r="A41" s="5" t="s">
        <v>79</v>
      </c>
      <c r="B41" s="6">
        <v>0</v>
      </c>
      <c r="C41" s="6">
        <v>0</v>
      </c>
      <c r="D41" s="6">
        <v>0</v>
      </c>
      <c r="E41" s="6"/>
      <c r="F41" s="18" t="s">
        <v>68</v>
      </c>
      <c r="G41" s="18" t="s">
        <v>68</v>
      </c>
      <c r="H41" s="6">
        <f>H42-H40</f>
        <v>116</v>
      </c>
      <c r="I41" s="6">
        <f>I42-I40</f>
        <v>116</v>
      </c>
    </row>
    <row r="42" spans="1:9" ht="14.25" hidden="1">
      <c r="A42" s="4" t="s">
        <v>80</v>
      </c>
      <c r="B42" s="6">
        <f>SUM(B40:B41)</f>
        <v>57</v>
      </c>
      <c r="C42" s="6">
        <f>SUM(C40:C41)</f>
        <v>79</v>
      </c>
      <c r="D42" s="6">
        <f>SUM(D40:D41)</f>
        <v>105</v>
      </c>
      <c r="E42" s="6">
        <f>SUM(E40:E41)</f>
        <v>84</v>
      </c>
      <c r="F42" s="17">
        <f>(991+B42)/I42</f>
        <v>0.6986666666666667</v>
      </c>
      <c r="G42" s="17">
        <f>(991+C42)/H42</f>
        <v>0.7133333333333334</v>
      </c>
      <c r="H42" s="6">
        <v>1500</v>
      </c>
      <c r="I42" s="6">
        <v>1500</v>
      </c>
    </row>
    <row r="43" spans="1:9" ht="12.75" hidden="1">
      <c r="A43" s="4"/>
      <c r="B43" s="6"/>
      <c r="C43" s="6"/>
      <c r="D43" s="6"/>
      <c r="E43" s="6"/>
      <c r="F43" s="17"/>
      <c r="G43" s="17"/>
      <c r="H43" s="6"/>
      <c r="I43" s="6"/>
    </row>
    <row r="44" spans="1:9" ht="14.25" hidden="1">
      <c r="A44" s="4" t="s">
        <v>81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1:9" ht="12.75" hidden="1">
      <c r="A45" s="3"/>
      <c r="B45" s="6"/>
      <c r="C45" s="6"/>
      <c r="D45" s="6"/>
      <c r="E45" s="6"/>
      <c r="F45" s="6"/>
      <c r="G45" s="6"/>
      <c r="H45" s="6"/>
      <c r="I45" s="6"/>
    </row>
    <row r="46" spans="1:9" ht="12.75" hidden="1">
      <c r="A46" s="67" t="s">
        <v>82</v>
      </c>
      <c r="B46" s="67"/>
      <c r="C46" s="67"/>
      <c r="D46" s="67"/>
      <c r="E46" s="67"/>
      <c r="F46" s="67"/>
      <c r="G46" s="67"/>
      <c r="H46" s="67"/>
      <c r="I46" s="67"/>
    </row>
    <row r="47" spans="1:9" ht="12.75" hidden="1">
      <c r="A47" s="68" t="s">
        <v>83</v>
      </c>
      <c r="B47" s="68"/>
      <c r="C47" s="68"/>
      <c r="D47" s="68"/>
      <c r="E47" s="68"/>
      <c r="F47" s="68"/>
      <c r="G47" s="68"/>
      <c r="H47" s="68"/>
      <c r="I47" s="68"/>
    </row>
    <row r="48" spans="1:9" ht="12.75" hidden="1">
      <c r="A48" s="19" t="s">
        <v>84</v>
      </c>
      <c r="B48" s="19"/>
      <c r="C48" s="19"/>
      <c r="D48" s="19"/>
      <c r="E48" s="19"/>
      <c r="F48" s="19"/>
      <c r="G48" s="19"/>
      <c r="H48" s="19"/>
      <c r="I48" s="19"/>
    </row>
    <row r="49" ht="12.75" hidden="1"/>
    <row r="50" ht="12.75" hidden="1">
      <c r="A50" s="1" t="s">
        <v>85</v>
      </c>
    </row>
    <row r="51" spans="1:12" ht="14.25" hidden="1">
      <c r="A51" s="3" t="s">
        <v>48</v>
      </c>
      <c r="B51" s="20" t="s">
        <v>86</v>
      </c>
      <c r="C51" s="16">
        <v>2005</v>
      </c>
      <c r="D51" s="16">
        <v>2006</v>
      </c>
      <c r="E51" s="16">
        <v>2007</v>
      </c>
      <c r="F51" s="16">
        <v>2008</v>
      </c>
      <c r="G51" s="16">
        <v>2009</v>
      </c>
      <c r="H51" s="16">
        <v>2010</v>
      </c>
      <c r="I51" s="16">
        <v>2011</v>
      </c>
      <c r="J51" s="16">
        <v>2012</v>
      </c>
      <c r="K51" s="16">
        <v>2013</v>
      </c>
      <c r="L51" s="16">
        <v>2014</v>
      </c>
    </row>
    <row r="52" spans="1:12" ht="12.75" hidden="1">
      <c r="A52" s="3" t="s">
        <v>87</v>
      </c>
      <c r="B52" s="6">
        <v>10986</v>
      </c>
      <c r="C52" s="6">
        <f>F33</f>
        <v>585</v>
      </c>
      <c r="D52" s="6">
        <v>210</v>
      </c>
      <c r="E52" s="6">
        <v>80</v>
      </c>
      <c r="F52" s="6">
        <v>51</v>
      </c>
      <c r="G52" s="6"/>
      <c r="H52" s="6"/>
      <c r="I52" s="6"/>
      <c r="J52" s="6"/>
      <c r="K52" s="6"/>
      <c r="L52" s="6"/>
    </row>
    <row r="53" spans="1:12" ht="12.75" hidden="1">
      <c r="A53" s="3" t="s">
        <v>88</v>
      </c>
      <c r="B53" s="6">
        <v>10986</v>
      </c>
      <c r="C53" s="6">
        <f>C33</f>
        <v>326</v>
      </c>
      <c r="D53" s="6">
        <v>0</v>
      </c>
      <c r="E53" s="6">
        <v>0</v>
      </c>
      <c r="F53" s="6">
        <v>0</v>
      </c>
      <c r="G53" s="6"/>
      <c r="H53" s="6"/>
      <c r="I53" s="6"/>
      <c r="J53" s="6"/>
      <c r="K53" s="6"/>
      <c r="L53" s="6"/>
    </row>
    <row r="54" spans="1:12" ht="12.75" hidden="1">
      <c r="A54" s="3" t="s">
        <v>89</v>
      </c>
      <c r="B54" s="17">
        <f>B52/B56</f>
        <v>0.9222632639355272</v>
      </c>
      <c r="C54" s="17">
        <v>0.97</v>
      </c>
      <c r="D54" s="17">
        <v>0.99</v>
      </c>
      <c r="E54" s="17">
        <f>(SUM($B$52:E52)/E56)</f>
        <v>0.9957186030893217</v>
      </c>
      <c r="F54" s="17">
        <f>(SUM($B$52:F52)/F56)</f>
        <v>1</v>
      </c>
      <c r="G54" s="6"/>
      <c r="H54" s="6"/>
      <c r="I54" s="6"/>
      <c r="J54" s="6"/>
      <c r="K54" s="6"/>
      <c r="L54" s="6"/>
    </row>
    <row r="55" spans="1:12" ht="12.75" hidden="1">
      <c r="A55" s="3" t="s">
        <v>90</v>
      </c>
      <c r="B55" s="17">
        <f>B53/B56</f>
        <v>0.9222632639355272</v>
      </c>
      <c r="C55" s="17">
        <f>(SUM(B53:C53)/C56)</f>
        <v>0.9496306245802552</v>
      </c>
      <c r="D55" s="6">
        <v>0</v>
      </c>
      <c r="E55" s="6">
        <v>0</v>
      </c>
      <c r="F55" s="6">
        <v>0</v>
      </c>
      <c r="G55" s="6"/>
      <c r="H55" s="6"/>
      <c r="I55" s="6"/>
      <c r="J55" s="6"/>
      <c r="K55" s="6"/>
      <c r="L55" s="6"/>
    </row>
    <row r="56" spans="1:12" ht="12.75" hidden="1">
      <c r="A56" s="3" t="s">
        <v>91</v>
      </c>
      <c r="B56" s="6">
        <f>J33</f>
        <v>11912</v>
      </c>
      <c r="C56" s="6">
        <f>B56</f>
        <v>11912</v>
      </c>
      <c r="D56" s="6">
        <f>C56</f>
        <v>11912</v>
      </c>
      <c r="E56" s="6">
        <f>D56</f>
        <v>11912</v>
      </c>
      <c r="F56" s="6">
        <f>E56</f>
        <v>11912</v>
      </c>
      <c r="G56" s="6"/>
      <c r="H56" s="6"/>
      <c r="I56" s="6"/>
      <c r="J56" s="6"/>
      <c r="K56" s="6"/>
      <c r="L56" s="6"/>
    </row>
    <row r="57" spans="1:12" ht="12.75" hidden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hidden="1">
      <c r="A58" s="3" t="s">
        <v>92</v>
      </c>
      <c r="B58" s="6">
        <f>1239*0.8</f>
        <v>991.2</v>
      </c>
      <c r="C58" s="6">
        <v>105</v>
      </c>
      <c r="D58" s="6">
        <v>76</v>
      </c>
      <c r="E58" s="6">
        <v>59</v>
      </c>
      <c r="F58" s="6">
        <v>42</v>
      </c>
      <c r="G58" s="6">
        <v>41</v>
      </c>
      <c r="H58" s="6">
        <v>5</v>
      </c>
      <c r="I58" s="6">
        <v>5</v>
      </c>
      <c r="J58" s="6">
        <v>5</v>
      </c>
      <c r="K58" s="6">
        <v>5</v>
      </c>
      <c r="L58" s="6">
        <v>5</v>
      </c>
    </row>
    <row r="59" spans="1:12" ht="12.75" hidden="1">
      <c r="A59" s="3" t="s">
        <v>93</v>
      </c>
      <c r="B59" s="6">
        <f>1239*0.8</f>
        <v>991.2</v>
      </c>
      <c r="C59" s="6">
        <f>'[1]Infrastruktur'!B8-'[1]Anlæg'!B56</f>
        <v>56.799999999999955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ht="12.75" hidden="1">
      <c r="A60" s="3" t="s">
        <v>89</v>
      </c>
      <c r="B60" s="17">
        <f>B58/B62</f>
        <v>0.7413612565445027</v>
      </c>
      <c r="C60" s="17">
        <f>(C58+B58)/C62</f>
        <v>0.7920520231213873</v>
      </c>
      <c r="D60" s="17">
        <f>SUM($B$58:D58)/D62</f>
        <v>0.8469653179190751</v>
      </c>
      <c r="E60" s="17">
        <f>SUM($B$58:E58)/E62</f>
        <v>0.8895953757225434</v>
      </c>
      <c r="F60" s="17">
        <f>SUM($B$58:F58)/F62</f>
        <v>0.919942196531792</v>
      </c>
      <c r="G60" s="17">
        <f>SUM($B$58:G58)/G62</f>
        <v>0.9495664739884393</v>
      </c>
      <c r="H60" s="17">
        <f>SUM($B$58:H58)/H62</f>
        <v>0.9531791907514451</v>
      </c>
      <c r="I60" s="17">
        <f>SUM($B$58:I58)/I62</f>
        <v>0.9567919075144509</v>
      </c>
      <c r="J60" s="17">
        <f>SUM($B$58:J58)/J62</f>
        <v>0.9604046242774567</v>
      </c>
      <c r="K60" s="17">
        <f>SUM($B$58:K58)/K62</f>
        <v>0.9640173410404624</v>
      </c>
      <c r="L60" s="17">
        <f>SUM($B$58:L58)/L62</f>
        <v>0.9676300578034682</v>
      </c>
    </row>
    <row r="61" spans="1:12" ht="12.75" hidden="1">
      <c r="A61" s="3" t="s">
        <v>90</v>
      </c>
      <c r="B61" s="17">
        <f>B59/B62</f>
        <v>0.7413612565445027</v>
      </c>
      <c r="C61" s="17">
        <f>(C59+B59)/C62</f>
        <v>0.7572254335260116</v>
      </c>
      <c r="D61" s="18" t="s">
        <v>68</v>
      </c>
      <c r="E61" s="18" t="s">
        <v>68</v>
      </c>
      <c r="F61" s="18" t="s">
        <v>68</v>
      </c>
      <c r="G61" s="18" t="s">
        <v>68</v>
      </c>
      <c r="H61" s="18" t="s">
        <v>68</v>
      </c>
      <c r="I61" s="18" t="s">
        <v>68</v>
      </c>
      <c r="J61" s="18" t="s">
        <v>68</v>
      </c>
      <c r="K61" s="18" t="s">
        <v>68</v>
      </c>
      <c r="L61" s="18" t="s">
        <v>68</v>
      </c>
    </row>
    <row r="62" spans="1:12" ht="14.25" hidden="1">
      <c r="A62" s="3" t="s">
        <v>94</v>
      </c>
      <c r="B62" s="6">
        <v>1337</v>
      </c>
      <c r="C62" s="6">
        <v>1384</v>
      </c>
      <c r="D62" s="6">
        <f aca="true" t="shared" si="3" ref="D62:K62">C62</f>
        <v>1384</v>
      </c>
      <c r="E62" s="6">
        <f t="shared" si="3"/>
        <v>1384</v>
      </c>
      <c r="F62" s="6">
        <f t="shared" si="3"/>
        <v>1384</v>
      </c>
      <c r="G62" s="6">
        <f t="shared" si="3"/>
        <v>1384</v>
      </c>
      <c r="H62" s="6">
        <f t="shared" si="3"/>
        <v>1384</v>
      </c>
      <c r="I62" s="6">
        <f t="shared" si="3"/>
        <v>1384</v>
      </c>
      <c r="J62" s="6">
        <f t="shared" si="3"/>
        <v>1384</v>
      </c>
      <c r="K62" s="6">
        <f t="shared" si="3"/>
        <v>1384</v>
      </c>
      <c r="L62" s="6">
        <f>K62</f>
        <v>1384</v>
      </c>
    </row>
    <row r="63" spans="1:12" ht="12.75" hidden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4.25" hidden="1">
      <c r="A64" s="3" t="s">
        <v>95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200</v>
      </c>
      <c r="K64" s="6">
        <v>0</v>
      </c>
      <c r="L64" s="6">
        <v>0</v>
      </c>
    </row>
    <row r="65" spans="1:12" ht="12.75" hidden="1">
      <c r="A65" s="3" t="s">
        <v>96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</row>
    <row r="66" spans="1:12" ht="12.75" hidden="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" ht="12.75" hidden="1">
      <c r="A67" s="67" t="s">
        <v>97</v>
      </c>
      <c r="B67" s="69"/>
    </row>
    <row r="68" spans="1:11" ht="12.75" hidden="1">
      <c r="A68" s="68" t="s">
        <v>98</v>
      </c>
      <c r="B68" s="70"/>
      <c r="C68" s="71"/>
      <c r="D68" s="71"/>
      <c r="E68" s="71"/>
      <c r="F68" s="71"/>
      <c r="G68" s="71"/>
      <c r="H68" s="71"/>
      <c r="I68" s="71"/>
      <c r="J68" s="71"/>
      <c r="K68" s="71"/>
    </row>
    <row r="69" ht="12.75" hidden="1">
      <c r="A69" s="23" t="s">
        <v>99</v>
      </c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20">
    <mergeCell ref="A46:I46"/>
    <mergeCell ref="A47:I47"/>
    <mergeCell ref="A67:B67"/>
    <mergeCell ref="A68:K68"/>
    <mergeCell ref="A35:I35"/>
    <mergeCell ref="B37:C37"/>
    <mergeCell ref="D37:E37"/>
    <mergeCell ref="F37:G37"/>
    <mergeCell ref="H37:I37"/>
    <mergeCell ref="A10:E10"/>
    <mergeCell ref="A14:IV14"/>
    <mergeCell ref="C16:D16"/>
    <mergeCell ref="E16:F16"/>
    <mergeCell ref="G16:H16"/>
    <mergeCell ref="I16:J16"/>
    <mergeCell ref="A11:I11"/>
    <mergeCell ref="A1:I1"/>
    <mergeCell ref="B4:C4"/>
    <mergeCell ref="D4:E4"/>
    <mergeCell ref="B8:C8"/>
  </mergeCells>
  <printOptions/>
  <pageMargins left="0.17" right="0.18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Ørestadsselskabet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Soetmann</dc:creator>
  <cp:keywords/>
  <dc:description/>
  <cp:lastModifiedBy>Trine Lætgaard Hansen</cp:lastModifiedBy>
  <cp:lastPrinted>2005-10-25T13:28:55Z</cp:lastPrinted>
  <dcterms:created xsi:type="dcterms:W3CDTF">2005-10-25T12:27:43Z</dcterms:created>
  <dcterms:modified xsi:type="dcterms:W3CDTF">2006-03-15T14:44:13Z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352284565</vt:i4>
  </property>
  <property fmtid="{D5CDD505-2E9C-101B-9397-08002B2CF9AE}" pid="3" name="_EmailSubject">
    <vt:lpwstr>Ørestadsselskabets kvartalsrapport, 3. kvartal 2005</vt:lpwstr>
  </property>
  <property fmtid="{D5CDD505-2E9C-101B-9397-08002B2CF9AE}" pid="4" name="_AuthorEmail">
    <vt:lpwstr>RWL@orestad.dk</vt:lpwstr>
  </property>
  <property fmtid="{D5CDD505-2E9C-101B-9397-08002B2CF9AE}" pid="5" name="_AuthorEmailDisplayName">
    <vt:lpwstr>Rasmus Warborg Larsen</vt:lpwstr>
  </property>
  <property fmtid="{D5CDD505-2E9C-101B-9397-08002B2CF9AE}" pid="6" name="_PreviousAdHocReviewCycleID">
    <vt:i4>-964053596</vt:i4>
  </property>
  <property fmtid="{D5CDD505-2E9C-101B-9397-08002B2CF9AE}" pid="7" name="_ReviewingToolsShownOnce">
    <vt:lpwstr/>
  </property>
</Properties>
</file>