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69\Downloads\"/>
    </mc:Choice>
  </mc:AlternateContent>
  <xr:revisionPtr revIDLastSave="0" documentId="13_ncr:1_{C1CC9BCA-F492-4BE0-86A3-3E61E7BEEB34}" xr6:coauthVersionLast="47" xr6:coauthVersionMax="47" xr10:uidLastSave="{00000000-0000-0000-0000-000000000000}"/>
  <bookViews>
    <workbookView xWindow="-120" yWindow="-120" windowWidth="29040" windowHeight="15720" xr2:uid="{D1CA8E3F-C956-4C3F-BCB4-BD725EA3D75B}"/>
  </bookViews>
  <sheets>
    <sheet name="OMK'er" sheetId="7" r:id="rId1"/>
    <sheet name="§ 19, stk. 2" sheetId="1" r:id="rId2"/>
    <sheet name="§ 32, småhuse" sheetId="2" r:id="rId3"/>
    <sheet name="§ 32, småhus - lejeforhøjelser" sheetId="6" r:id="rId4"/>
    <sheet name="Enkeltværelser" sheetId="5" r:id="rId5"/>
    <sheet name="§ 19, stk. 1 (03.09.06)" sheetId="8" r:id="rId6"/>
  </sheets>
  <definedNames>
    <definedName name="_xlnm._FilterDatabase" localSheetId="1" hidden="1">'§ 19, stk. 2'!$A$1:$O$1</definedName>
    <definedName name="_xlnm._FilterDatabase" localSheetId="3" hidden="1">'§ 32, småhus - lejeforhøjelser'!$A$1:$I$1</definedName>
    <definedName name="_xlnm._FilterDatabase" localSheetId="2" hidden="1">'§ 32, småhuse'!$A$1:$I$1</definedName>
    <definedName name="_xlnm._FilterDatabase" localSheetId="4" hidden="1">Enkeltværelser!$A$1:$I$12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H101" i="1"/>
  <c r="I101" i="1"/>
  <c r="H36" i="1"/>
  <c r="I26" i="1"/>
  <c r="H34" i="5" a="1"/>
  <c r="H34" i="5"/>
  <c r="H5" i="5"/>
  <c r="H6" i="5"/>
  <c r="H7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2" i="5"/>
  <c r="H8" i="5"/>
  <c r="H3" i="5"/>
  <c r="H9" i="5"/>
  <c r="H4" i="5"/>
  <c r="C33" i="5"/>
  <c r="A31" i="5"/>
  <c r="A23" i="6"/>
  <c r="I4" i="5"/>
  <c r="I9" i="5"/>
  <c r="I3" i="5"/>
  <c r="I8" i="5"/>
  <c r="I2" i="5"/>
  <c r="C25" i="6"/>
  <c r="A37" i="2"/>
  <c r="I22" i="6"/>
  <c r="I15" i="6"/>
  <c r="I14" i="6"/>
  <c r="I16" i="6"/>
  <c r="I11" i="6"/>
  <c r="I10" i="6"/>
  <c r="I9" i="6"/>
  <c r="I8" i="6"/>
  <c r="I21" i="6"/>
  <c r="H22" i="6"/>
  <c r="H15" i="6"/>
  <c r="H14" i="6"/>
  <c r="H16" i="6"/>
  <c r="H11" i="6"/>
  <c r="H10" i="6"/>
  <c r="H9" i="6"/>
  <c r="H8" i="6"/>
  <c r="H21" i="6"/>
  <c r="C39" i="2"/>
  <c r="A103" i="1"/>
  <c r="I17" i="2"/>
  <c r="I20" i="2"/>
  <c r="I22" i="2"/>
  <c r="H17" i="2"/>
  <c r="H20" i="2"/>
  <c r="H22" i="2"/>
  <c r="C105" i="1"/>
  <c r="I4" i="1"/>
  <c r="I5" i="1"/>
  <c r="I6" i="1"/>
  <c r="I7" i="1"/>
  <c r="I8" i="1"/>
  <c r="I9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9" i="1"/>
  <c r="I50" i="1"/>
  <c r="I51" i="1"/>
  <c r="I52" i="1"/>
  <c r="I53" i="1"/>
  <c r="I54" i="1"/>
  <c r="I55" i="1"/>
  <c r="I61" i="1"/>
  <c r="I62" i="1"/>
  <c r="I63" i="1"/>
  <c r="I89" i="1"/>
  <c r="I66" i="1"/>
  <c r="I93" i="1"/>
  <c r="I82" i="1"/>
  <c r="I68" i="1"/>
  <c r="I69" i="1"/>
  <c r="I71" i="1"/>
  <c r="I77" i="1"/>
  <c r="I90" i="1"/>
  <c r="I75" i="1"/>
  <c r="I83" i="1"/>
  <c r="I87" i="1"/>
  <c r="I84" i="1"/>
  <c r="I86" i="1"/>
  <c r="I73" i="1"/>
  <c r="I70" i="1"/>
  <c r="I94" i="1"/>
  <c r="I67" i="1"/>
  <c r="I74" i="1"/>
  <c r="I85" i="1"/>
  <c r="I92" i="1"/>
  <c r="I76" i="1"/>
  <c r="I79" i="1"/>
  <c r="I78" i="1"/>
  <c r="I72" i="1"/>
  <c r="I95" i="1"/>
  <c r="I96" i="1"/>
  <c r="I97" i="1"/>
  <c r="I102" i="1"/>
  <c r="I98" i="1"/>
  <c r="I44" i="1"/>
  <c r="I45" i="1"/>
  <c r="I46" i="1"/>
  <c r="I47" i="1"/>
  <c r="I64" i="1"/>
  <c r="I2" i="1"/>
  <c r="I56" i="1"/>
  <c r="I57" i="1"/>
  <c r="I99" i="1"/>
  <c r="I10" i="1"/>
  <c r="I58" i="1"/>
  <c r="I80" i="1"/>
  <c r="I11" i="1"/>
  <c r="I48" i="1"/>
  <c r="I12" i="1"/>
  <c r="I13" i="1"/>
  <c r="I14" i="1"/>
  <c r="I15" i="1"/>
  <c r="I16" i="1"/>
  <c r="I59" i="1"/>
  <c r="I17" i="1"/>
  <c r="I18" i="1"/>
  <c r="I19" i="1"/>
  <c r="I20" i="1"/>
  <c r="I21" i="1"/>
  <c r="I22" i="1"/>
  <c r="I23" i="1"/>
  <c r="I100" i="1"/>
  <c r="I24" i="1"/>
  <c r="I25" i="1"/>
  <c r="I27" i="1"/>
  <c r="I60" i="1"/>
  <c r="I28" i="1"/>
  <c r="I91" i="1"/>
  <c r="I81" i="1"/>
  <c r="I88" i="1"/>
  <c r="I65" i="1"/>
  <c r="H4" i="1"/>
  <c r="H5" i="1"/>
  <c r="H6" i="1"/>
  <c r="H7" i="1"/>
  <c r="H8" i="1"/>
  <c r="H9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9" i="1"/>
  <c r="H50" i="1"/>
  <c r="H51" i="1"/>
  <c r="H52" i="1"/>
  <c r="H53" i="1"/>
  <c r="H54" i="1"/>
  <c r="H55" i="1"/>
  <c r="H61" i="1"/>
  <c r="H62" i="1"/>
  <c r="H63" i="1"/>
  <c r="H89" i="1"/>
  <c r="H66" i="1"/>
  <c r="H93" i="1"/>
  <c r="H82" i="1"/>
  <c r="H68" i="1"/>
  <c r="H69" i="1"/>
  <c r="H71" i="1"/>
  <c r="H77" i="1"/>
  <c r="H90" i="1"/>
  <c r="H75" i="1"/>
  <c r="H83" i="1"/>
  <c r="H87" i="1"/>
  <c r="H84" i="1"/>
  <c r="H86" i="1"/>
  <c r="H73" i="1"/>
  <c r="H70" i="1"/>
  <c r="H94" i="1"/>
  <c r="H67" i="1"/>
  <c r="H74" i="1"/>
  <c r="H85" i="1"/>
  <c r="H92" i="1"/>
  <c r="H76" i="1"/>
  <c r="H79" i="1"/>
  <c r="H78" i="1"/>
  <c r="H72" i="1"/>
  <c r="H95" i="1"/>
  <c r="H96" i="1"/>
  <c r="H97" i="1"/>
  <c r="H102" i="1"/>
  <c r="H98" i="1"/>
  <c r="H44" i="1"/>
  <c r="H45" i="1"/>
  <c r="H46" i="1"/>
  <c r="H47" i="1"/>
  <c r="H64" i="1"/>
  <c r="H2" i="1"/>
  <c r="H56" i="1"/>
  <c r="H57" i="1"/>
  <c r="H99" i="1"/>
  <c r="H10" i="1"/>
  <c r="H58" i="1"/>
  <c r="H80" i="1"/>
  <c r="H11" i="1"/>
  <c r="H48" i="1"/>
  <c r="H12" i="1"/>
  <c r="H13" i="1"/>
  <c r="H14" i="1"/>
  <c r="H15" i="1"/>
  <c r="H16" i="1"/>
  <c r="H59" i="1"/>
  <c r="H17" i="1"/>
  <c r="H18" i="1"/>
  <c r="H19" i="1"/>
  <c r="H20" i="1"/>
  <c r="H21" i="1"/>
  <c r="H22" i="1"/>
  <c r="H23" i="1"/>
  <c r="H100" i="1"/>
  <c r="H24" i="1"/>
  <c r="H25" i="1"/>
  <c r="H26" i="1"/>
  <c r="H27" i="1"/>
  <c r="H60" i="1"/>
  <c r="H28" i="1"/>
  <c r="H91" i="1"/>
  <c r="H81" i="1"/>
  <c r="H88" i="1"/>
  <c r="H65" i="1"/>
  <c r="H3" i="1"/>
  <c r="E103" i="1"/>
  <c r="F103" i="1"/>
  <c r="G103" i="1"/>
  <c r="G31" i="5"/>
  <c r="F31" i="5"/>
  <c r="E31" i="5"/>
  <c r="E23" i="6"/>
  <c r="F23" i="6"/>
  <c r="G23" i="6"/>
  <c r="E37" i="2"/>
  <c r="F37" i="2"/>
  <c r="G37" i="2"/>
  <c r="H8" i="8"/>
  <c r="I8" i="8" s="1"/>
  <c r="H9" i="8"/>
  <c r="I9" i="8" s="1"/>
  <c r="I10" i="8"/>
  <c r="I5" i="8"/>
  <c r="H2" i="8"/>
  <c r="I2" i="8" s="1"/>
  <c r="I6" i="8"/>
  <c r="I7" i="8"/>
  <c r="H7" i="8" s="1"/>
  <c r="H4" i="8"/>
  <c r="G15" i="7"/>
  <c r="G14" i="7"/>
  <c r="G12" i="7"/>
  <c r="I12" i="5"/>
  <c r="I7" i="5"/>
  <c r="I6" i="5"/>
  <c r="I10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5" i="5"/>
  <c r="H5" i="2"/>
  <c r="I5" i="2"/>
  <c r="H20" i="6"/>
  <c r="I20" i="6"/>
  <c r="H2" i="6"/>
  <c r="I2" i="6"/>
  <c r="H3" i="6"/>
  <c r="I3" i="6"/>
  <c r="H4" i="6"/>
  <c r="I4" i="6"/>
  <c r="H5" i="6"/>
  <c r="I5" i="6"/>
  <c r="H12" i="6"/>
  <c r="I12" i="6"/>
  <c r="H13" i="6"/>
  <c r="I13" i="6"/>
  <c r="H18" i="6"/>
  <c r="I18" i="6"/>
  <c r="H7" i="6"/>
  <c r="I7" i="6"/>
  <c r="H19" i="6"/>
  <c r="I19" i="6"/>
  <c r="H6" i="6"/>
  <c r="I6" i="6"/>
  <c r="I17" i="6"/>
  <c r="H17" i="6"/>
  <c r="I12" i="2"/>
  <c r="I19" i="2"/>
  <c r="I7" i="2"/>
  <c r="I18" i="2"/>
  <c r="I10" i="2"/>
  <c r="I13" i="2"/>
  <c r="I36" i="2"/>
  <c r="I28" i="2"/>
  <c r="I11" i="2"/>
  <c r="I3" i="2"/>
  <c r="I25" i="2"/>
  <c r="I27" i="2"/>
  <c r="I21" i="2"/>
  <c r="I31" i="2"/>
  <c r="I26" i="2"/>
  <c r="I8" i="2"/>
  <c r="I2" i="2"/>
  <c r="I30" i="2"/>
  <c r="I29" i="2"/>
  <c r="I14" i="2"/>
  <c r="I33" i="2"/>
  <c r="I15" i="2"/>
  <c r="I34" i="2"/>
  <c r="I6" i="2"/>
  <c r="I16" i="2"/>
  <c r="I32" i="2"/>
  <c r="I35" i="2"/>
  <c r="I23" i="2"/>
  <c r="I9" i="2"/>
  <c r="H19" i="2"/>
  <c r="H7" i="2"/>
  <c r="H18" i="2"/>
  <c r="H10" i="2"/>
  <c r="H13" i="2"/>
  <c r="H36" i="2"/>
  <c r="H28" i="2"/>
  <c r="H11" i="2"/>
  <c r="H3" i="2"/>
  <c r="H25" i="2"/>
  <c r="H27" i="2"/>
  <c r="H21" i="2"/>
  <c r="H31" i="2"/>
  <c r="H26" i="2"/>
  <c r="H8" i="2"/>
  <c r="H2" i="2"/>
  <c r="H30" i="2"/>
  <c r="H29" i="2"/>
  <c r="H14" i="2"/>
  <c r="H33" i="2"/>
  <c r="H15" i="2"/>
  <c r="H34" i="2"/>
  <c r="H6" i="2"/>
  <c r="H16" i="2"/>
  <c r="H32" i="2"/>
  <c r="H35" i="2"/>
  <c r="H23" i="2"/>
  <c r="H9" i="2"/>
  <c r="H12" i="2"/>
  <c r="H24" i="2"/>
  <c r="I24" i="2"/>
  <c r="K96" i="2"/>
  <c r="K97" i="2" s="1"/>
  <c r="L96" i="2"/>
  <c r="L97" i="2" s="1"/>
  <c r="I3" i="1"/>
  <c r="M106" i="1" l="1" a="1"/>
  <c r="M106" i="1" s="1"/>
  <c r="M26" i="6" a="1"/>
  <c r="M26" i="6" s="1"/>
  <c r="M25" i="6" a="1"/>
  <c r="M25" i="6" s="1"/>
  <c r="N25" i="6" s="1"/>
  <c r="H27" i="6" a="1"/>
  <c r="H27" i="6" s="1"/>
  <c r="H25" i="6" a="1"/>
  <c r="H25" i="6" s="1"/>
  <c r="I25" i="6" s="1"/>
  <c r="H26" i="6" a="1"/>
  <c r="H26" i="6" s="1"/>
  <c r="M39" i="2" a="1"/>
  <c r="M39" i="2" s="1"/>
  <c r="N39" i="2" s="1"/>
  <c r="H39" i="2" a="1"/>
  <c r="H39" i="2" s="1"/>
  <c r="I39" i="2" s="1"/>
  <c r="H107" i="1" a="1"/>
  <c r="H107" i="1" s="1"/>
  <c r="M40" i="2" a="1"/>
  <c r="M40" i="2" s="1"/>
  <c r="H105" i="1" a="1"/>
  <c r="H105" i="1" s="1"/>
  <c r="I105" i="1" s="1"/>
  <c r="I103" i="1"/>
  <c r="C107" i="1" s="1"/>
  <c r="I37" i="2"/>
  <c r="C41" i="2" s="1"/>
  <c r="H37" i="2"/>
  <c r="C40" i="2" s="1"/>
  <c r="H41" i="2" a="1"/>
  <c r="H41" i="2" s="1"/>
  <c r="H40" i="2" a="1"/>
  <c r="H40" i="2" s="1"/>
  <c r="M105" i="1" a="1"/>
  <c r="M105" i="1" s="1"/>
  <c r="N105" i="1" s="1"/>
  <c r="H103" i="1"/>
  <c r="C106" i="1" s="1"/>
  <c r="H106" i="1" a="1"/>
  <c r="H106" i="1" s="1"/>
  <c r="I31" i="5"/>
  <c r="C34" i="5"/>
  <c r="H23" i="6"/>
  <c r="C26" i="6" s="1"/>
  <c r="I23" i="6"/>
  <c r="J96" i="2"/>
  <c r="J97" i="2" s="1"/>
  <c r="F96" i="2"/>
  <c r="F97" i="2" s="1"/>
  <c r="C109" i="1" l="1"/>
  <c r="C42" i="2"/>
  <c r="C43" i="2"/>
  <c r="H43" i="2"/>
  <c r="H109" i="1"/>
  <c r="D105" i="1"/>
  <c r="C108" i="1"/>
  <c r="H108" i="1"/>
  <c r="C37" i="5"/>
  <c r="C35" i="5"/>
  <c r="C36" i="5"/>
  <c r="D39" i="2"/>
  <c r="H42" i="2"/>
  <c r="D25" i="6"/>
  <c r="H28" i="6"/>
  <c r="H29" i="6"/>
  <c r="C27" i="6"/>
  <c r="C28" i="6"/>
  <c r="C29" i="6"/>
  <c r="E96" i="2"/>
  <c r="E97" i="2" s="1"/>
  <c r="H96" i="2" l="1"/>
  <c r="H97" i="2" s="1"/>
  <c r="I96" i="2"/>
  <c r="I97" i="2" s="1"/>
  <c r="H40" i="5" a="1"/>
  <c r="H40" i="5" s="1"/>
  <c r="M33" i="5" a="1"/>
  <c r="M33" i="5" s="1"/>
  <c r="N33" i="5" s="1"/>
  <c r="H41" i="5" a="1"/>
  <c r="H41" i="5" s="1"/>
  <c r="M35" i="5" a="1"/>
  <c r="M35" i="5" s="1"/>
  <c r="H35" i="5" a="1"/>
  <c r="H35" i="5" s="1"/>
  <c r="M34" i="5" a="1"/>
  <c r="M34" i="5" s="1"/>
  <c r="H33" i="5" a="1"/>
  <c r="H33" i="5" s="1"/>
  <c r="I33" i="5" s="1"/>
  <c r="H36" i="5" l="1"/>
  <c r="H37" i="5"/>
  <c r="M36" i="5"/>
  <c r="M37" i="5"/>
  <c r="D33" i="5"/>
  <c r="I40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<sst xmlns="http://schemas.openxmlformats.org/spreadsheetml/2006/main" count="1979" uniqueCount="668">
  <si>
    <t>Sagsnr.</t>
  </si>
  <si>
    <t>Adresse</t>
  </si>
  <si>
    <t>Bydel</t>
  </si>
  <si>
    <t>Nævn</t>
  </si>
  <si>
    <t>OMK pr.</t>
  </si>
  <si>
    <t>Godkendt budgetleje u. hensættelser pr. m2</t>
  </si>
  <si>
    <t>Godkendt budget m. udvendig vedl. pr. m2</t>
  </si>
  <si>
    <t>Ejendommens m²</t>
  </si>
  <si>
    <t>Antal boliger</t>
  </si>
  <si>
    <t>Opførselsår</t>
  </si>
  <si>
    <t>Bemærkninger</t>
  </si>
  <si>
    <t>Afgørelsesdato</t>
  </si>
  <si>
    <t>2021-0123099</t>
  </si>
  <si>
    <t xml:space="preserve">Bryggergade /Lyngbyvej /Oliemøllegade </t>
  </si>
  <si>
    <t>København Ø</t>
  </si>
  <si>
    <t>Ankenævn</t>
  </si>
  <si>
    <t>1. april 2019</t>
  </si>
  <si>
    <t>Anke vedr. afkastberegning</t>
  </si>
  <si>
    <t>2. december 2021</t>
  </si>
  <si>
    <t>2019-0148880</t>
  </si>
  <si>
    <t xml:space="preserve">Prinsessegade </t>
  </si>
  <si>
    <t>København K</t>
  </si>
  <si>
    <t>1. marts 2017</t>
  </si>
  <si>
    <t>13. juli 2020</t>
  </si>
  <si>
    <t>2018-0161301</t>
  </si>
  <si>
    <t xml:space="preserve">Ålekistevej </t>
  </si>
  <si>
    <t>Vanløse</t>
  </si>
  <si>
    <t>1. juli 2016</t>
  </si>
  <si>
    <t>?</t>
  </si>
  <si>
    <t>16. august 2019</t>
  </si>
  <si>
    <t>2019-0013951</t>
  </si>
  <si>
    <t xml:space="preserve">Sortedam Dossering </t>
  </si>
  <si>
    <t>1. marts 2018</t>
  </si>
  <si>
    <t>23. juli 2019</t>
  </si>
  <si>
    <t>2017-0211204</t>
  </si>
  <si>
    <t xml:space="preserve">Reventlowsgade </t>
  </si>
  <si>
    <t>København V</t>
  </si>
  <si>
    <t>1. februar 2016</t>
  </si>
  <si>
    <t>10. januar 2018</t>
  </si>
  <si>
    <t>2019-0332643</t>
  </si>
  <si>
    <t xml:space="preserve">Sankt Annæ Gade </t>
  </si>
  <si>
    <t>1. oktober 2018</t>
  </si>
  <si>
    <t>Anke vedr. gyldighed</t>
  </si>
  <si>
    <t>1. maj 2020</t>
  </si>
  <si>
    <t>2017-0279033</t>
  </si>
  <si>
    <t xml:space="preserve">Istedgade </t>
  </si>
  <si>
    <t>1. oktober 2016</t>
  </si>
  <si>
    <t>2018-0254036</t>
  </si>
  <si>
    <t xml:space="preserve">Krystalgade </t>
  </si>
  <si>
    <t>1. uli 2019</t>
  </si>
  <si>
    <t>2017-0182466</t>
  </si>
  <si>
    <t xml:space="preserve">Stormgade </t>
  </si>
  <si>
    <t>Kø'benhavn V</t>
  </si>
  <si>
    <t>1. marts 2016</t>
  </si>
  <si>
    <t>2. november 2017</t>
  </si>
  <si>
    <t>2020-0843471</t>
  </si>
  <si>
    <t xml:space="preserve">Toftegårds Alle </t>
  </si>
  <si>
    <t>Valby</t>
  </si>
  <si>
    <t>1. juni 2019</t>
  </si>
  <si>
    <t>3. januar 2021</t>
  </si>
  <si>
    <t>2021-0398910</t>
  </si>
  <si>
    <t xml:space="preserve">Fredericiagade  / Adelgade </t>
  </si>
  <si>
    <t xml:space="preserve">København K </t>
  </si>
  <si>
    <t>1. januar 2019</t>
  </si>
  <si>
    <t>5. juli 2022</t>
  </si>
  <si>
    <t>2017-0354566</t>
  </si>
  <si>
    <t xml:space="preserve">Bredgade </t>
  </si>
  <si>
    <t>1. januar 2017</t>
  </si>
  <si>
    <t>27. februar 2018</t>
  </si>
  <si>
    <t>2020-0118851</t>
  </si>
  <si>
    <t xml:space="preserve">Nansensgade </t>
  </si>
  <si>
    <t>5. november 2020</t>
  </si>
  <si>
    <t>2020-0118115</t>
  </si>
  <si>
    <t xml:space="preserve">Christians Brygge  / Vester Voldgade </t>
  </si>
  <si>
    <t>16. oktober 2020</t>
  </si>
  <si>
    <t>2019-0347062</t>
  </si>
  <si>
    <t xml:space="preserve">Stavangergade </t>
  </si>
  <si>
    <t>1. februar 2019</t>
  </si>
  <si>
    <t>Anke vedr. hensættelsesbeløb</t>
  </si>
  <si>
    <t>20. juli 2020</t>
  </si>
  <si>
    <t>2019-0013309</t>
  </si>
  <si>
    <t xml:space="preserve">Sortedam Dossering  / Østerbrogade </t>
  </si>
  <si>
    <t>1. januar 2018</t>
  </si>
  <si>
    <t>2017-0213394</t>
  </si>
  <si>
    <t xml:space="preserve">Nordre Frihavnsgade </t>
  </si>
  <si>
    <t>1. december 2016</t>
  </si>
  <si>
    <t>12. juli 2018</t>
  </si>
  <si>
    <t>Aftalt leje, årlig</t>
  </si>
  <si>
    <t>Godkendt leje, årlig</t>
  </si>
  <si>
    <t>m²</t>
  </si>
  <si>
    <t>Aftalt leje pr. m², årlig</t>
  </si>
  <si>
    <t>Godkendt leje pr. m², årlig</t>
  </si>
  <si>
    <t>Lejefastsættelses-tidspunktet</t>
  </si>
  <si>
    <t>Indvendig vedligeholdelsespligt</t>
  </si>
  <si>
    <t>Koldt vand-aconto</t>
  </si>
  <si>
    <t>Moderniseringsår</t>
  </si>
  <si>
    <t>2022-0185344</t>
  </si>
  <si>
    <t xml:space="preserve">Gammel Vartov Vej </t>
  </si>
  <si>
    <t>Hellerup</t>
  </si>
  <si>
    <t xml:space="preserve">1. januar 2020 </t>
  </si>
  <si>
    <t>Udlejer</t>
  </si>
  <si>
    <t>Nej</t>
  </si>
  <si>
    <t>5. december 2022</t>
  </si>
  <si>
    <t>2022-0081327</t>
  </si>
  <si>
    <t>1. januar 2020</t>
  </si>
  <si>
    <t>Lejer</t>
  </si>
  <si>
    <t>2016/2017</t>
  </si>
  <si>
    <t>13. september 2022</t>
  </si>
  <si>
    <t>2021-0013825</t>
  </si>
  <si>
    <t xml:space="preserve">Ny Vestergade </t>
  </si>
  <si>
    <t>Ja</t>
  </si>
  <si>
    <t>aconto vand 300</t>
  </si>
  <si>
    <t>20. august 2021</t>
  </si>
  <si>
    <t>2021-0289975</t>
  </si>
  <si>
    <t xml:space="preserve">Nørre Farimagsgade </t>
  </si>
  <si>
    <t>6. december 2021</t>
  </si>
  <si>
    <t>2021-0111244</t>
  </si>
  <si>
    <t>Overgaden Oven Vandet</t>
  </si>
  <si>
    <t>15. maj 2019</t>
  </si>
  <si>
    <t>23. september 2021</t>
  </si>
  <si>
    <t>2021-0053136</t>
  </si>
  <si>
    <t>Peder Hvitfeldts Stræde</t>
  </si>
  <si>
    <t>1. juli 2019</t>
  </si>
  <si>
    <t>21. september 2021</t>
  </si>
  <si>
    <t>2021-0270183</t>
  </si>
  <si>
    <t xml:space="preserve">Rømersgade </t>
  </si>
  <si>
    <t>15. januar 2020</t>
  </si>
  <si>
    <t>30. november 2021</t>
  </si>
  <si>
    <t>2021-0044118 
2021-0319980</t>
  </si>
  <si>
    <t xml:space="preserve">Store Kongensgade </t>
  </si>
  <si>
    <t>24. marts 2022</t>
  </si>
  <si>
    <t>2022-0085316</t>
  </si>
  <si>
    <t xml:space="preserve">Vendersgade </t>
  </si>
  <si>
    <t xml:space="preserve">1. marts 2019 </t>
  </si>
  <si>
    <t>13. oktober 2022</t>
  </si>
  <si>
    <t>2022-0007263
2022-0038892</t>
  </si>
  <si>
    <t>Dronningens Tværgade</t>
  </si>
  <si>
    <t>15. oktober 2020</t>
  </si>
  <si>
    <t>23. december 2022</t>
  </si>
  <si>
    <t>2021-0402613
2022-0010278</t>
  </si>
  <si>
    <t xml:space="preserve">Dronningens Tværgade </t>
  </si>
  <si>
    <t>1. august 2020</t>
  </si>
  <si>
    <t>2022-0007307</t>
  </si>
  <si>
    <t>15. december 2020</t>
  </si>
  <si>
    <t>2021-0404928
2022-0007190</t>
  </si>
  <si>
    <t xml:space="preserve">frederikssundsvej </t>
  </si>
  <si>
    <t xml:space="preserve">15. november 2020 </t>
  </si>
  <si>
    <t>2021-0414294
2022-0007090</t>
  </si>
  <si>
    <t xml:space="preserve">15. september 2020 </t>
  </si>
  <si>
    <t>2021-0402714
2022-0007034</t>
  </si>
  <si>
    <t>1. oktober 2020</t>
  </si>
  <si>
    <t>2021-0414470</t>
  </si>
  <si>
    <t>1. januar 2021</t>
  </si>
  <si>
    <t>2021-0404946</t>
  </si>
  <si>
    <t xml:space="preserve">1. juni 2020 </t>
  </si>
  <si>
    <t>2021-0403532</t>
  </si>
  <si>
    <t>2021-0402733</t>
  </si>
  <si>
    <t>2021-0402663</t>
  </si>
  <si>
    <t>2021-0402578</t>
  </si>
  <si>
    <t>2021-0402557</t>
  </si>
  <si>
    <t>2021-0399195</t>
  </si>
  <si>
    <t>15. december 2019</t>
  </si>
  <si>
    <t>2021-0399190</t>
  </si>
  <si>
    <t xml:space="preserve">1. oktober 2020 </t>
  </si>
  <si>
    <t>2021-0399182</t>
  </si>
  <si>
    <t xml:space="preserve">1. januar 2021 </t>
  </si>
  <si>
    <t>2021-0359378</t>
  </si>
  <si>
    <t xml:space="preserve">Ole Suhrs Gade </t>
  </si>
  <si>
    <t xml:space="preserve">15. november 2019 </t>
  </si>
  <si>
    <t>12. december 2022</t>
  </si>
  <si>
    <t>2021-0341397</t>
  </si>
  <si>
    <t xml:space="preserve">Rigensgade </t>
  </si>
  <si>
    <t xml:space="preserve">23. marts 2020 </t>
  </si>
  <si>
    <t>21. november 2022</t>
  </si>
  <si>
    <t>2021-0084873</t>
  </si>
  <si>
    <t>21. juli 2021</t>
  </si>
  <si>
    <t>2021-0047065</t>
  </si>
  <si>
    <t xml:space="preserve">1. februar 2020 </t>
  </si>
  <si>
    <t>2021-0009693</t>
  </si>
  <si>
    <t xml:space="preserve">1. januar 2019 </t>
  </si>
  <si>
    <t>19. juli 2021</t>
  </si>
  <si>
    <t>2021-0217075</t>
  </si>
  <si>
    <t>Bjelkes Alle</t>
  </si>
  <si>
    <t>København N</t>
  </si>
  <si>
    <t>15. April 2019</t>
  </si>
  <si>
    <t>2021-0347515</t>
  </si>
  <si>
    <t>Krügersgade</t>
  </si>
  <si>
    <t>1. marts 2019</t>
  </si>
  <si>
    <t>aconto vand 100</t>
  </si>
  <si>
    <t>27. juni 2022</t>
  </si>
  <si>
    <t>2021-0016384</t>
  </si>
  <si>
    <t>Nørrebrogade</t>
  </si>
  <si>
    <t>9. juni 2021</t>
  </si>
  <si>
    <t>2021-0025185 
2021-0029049</t>
  </si>
  <si>
    <t xml:space="preserve">1. maj 2019 </t>
  </si>
  <si>
    <t>8. oktober 2021</t>
  </si>
  <si>
    <t>2021-0164343</t>
  </si>
  <si>
    <t>Prinsesse Charlottes Gade</t>
  </si>
  <si>
    <t>10. januar 2020</t>
  </si>
  <si>
    <t>1. november 2021</t>
  </si>
  <si>
    <t>2021-0374779</t>
  </si>
  <si>
    <t>Rantzausgade</t>
  </si>
  <si>
    <t>1. november 2018</t>
  </si>
  <si>
    <t>28. juni 2022</t>
  </si>
  <si>
    <t>2022-0033345</t>
  </si>
  <si>
    <t xml:space="preserve">Rantzausgade </t>
  </si>
  <si>
    <t>aconto vand 250</t>
  </si>
  <si>
    <t>2021-0374843</t>
  </si>
  <si>
    <t>1. juli 2020</t>
  </si>
  <si>
    <t>2021-0374734</t>
  </si>
  <si>
    <t>1. august 2018</t>
  </si>
  <si>
    <t>2021-0016328
2021-0020281</t>
  </si>
  <si>
    <t xml:space="preserve">Rådmandsgade </t>
  </si>
  <si>
    <t>25. oktober 2021</t>
  </si>
  <si>
    <t>2021-0266103</t>
  </si>
  <si>
    <t>Tagensvej</t>
  </si>
  <si>
    <t>1. marts 2020</t>
  </si>
  <si>
    <t>2021-0001635 
2021-0007990</t>
  </si>
  <si>
    <t xml:space="preserve">Åboulevard </t>
  </si>
  <si>
    <t>1. november 2019</t>
  </si>
  <si>
    <t>23. august 2021</t>
  </si>
  <si>
    <t>2022-0233386</t>
  </si>
  <si>
    <t xml:space="preserve">Peter Fabers Gade </t>
  </si>
  <si>
    <t>1. juni 2018</t>
  </si>
  <si>
    <t>2. december 2022</t>
  </si>
  <si>
    <t>2022-0233358</t>
  </si>
  <si>
    <t>1. februar 2020</t>
  </si>
  <si>
    <t>2022-0233089</t>
  </si>
  <si>
    <t xml:space="preserve">1. juni 2018 </t>
  </si>
  <si>
    <t>2022-0233000</t>
  </si>
  <si>
    <t>Peter Fabers Gade</t>
  </si>
  <si>
    <t xml:space="preserve">1. juli 2018 </t>
  </si>
  <si>
    <t>2022-0016459</t>
  </si>
  <si>
    <t xml:space="preserve">Ravnsborggade </t>
  </si>
  <si>
    <t xml:space="preserve">København N </t>
  </si>
  <si>
    <t>2021-0414552</t>
  </si>
  <si>
    <t xml:space="preserve">Frederikssundsvej </t>
  </si>
  <si>
    <t>København NV</t>
  </si>
  <si>
    <t>90/00'erne</t>
  </si>
  <si>
    <t>2021-0175763</t>
  </si>
  <si>
    <t xml:space="preserve">Ringertoften </t>
  </si>
  <si>
    <t xml:space="preserve">15. februar 2020 </t>
  </si>
  <si>
    <t>lejer</t>
  </si>
  <si>
    <t>aconto vand 350</t>
  </si>
  <si>
    <t>2021-0169638</t>
  </si>
  <si>
    <t xml:space="preserve">Belgiensgade </t>
  </si>
  <si>
    <t>København S</t>
  </si>
  <si>
    <t>15. November 2019</t>
  </si>
  <si>
    <t>14. oktober 2021</t>
  </si>
  <si>
    <t>2021-0330463</t>
  </si>
  <si>
    <t xml:space="preserve">Hyacintgården </t>
  </si>
  <si>
    <t>1. august 2019</t>
  </si>
  <si>
    <t>2021-0362757</t>
  </si>
  <si>
    <t xml:space="preserve">Markmandsgade </t>
  </si>
  <si>
    <t>24. juni 2022</t>
  </si>
  <si>
    <t>2021-0309059</t>
  </si>
  <si>
    <t>Mjøsensgade</t>
  </si>
  <si>
    <t>25. marts 2022</t>
  </si>
  <si>
    <t>2021-0309771</t>
  </si>
  <si>
    <t xml:space="preserve">Thorshavnsgade </t>
  </si>
  <si>
    <t>aconto vand 400</t>
  </si>
  <si>
    <t>2022-0076547
2022-0099328</t>
  </si>
  <si>
    <t xml:space="preserve">Lybækgade </t>
  </si>
  <si>
    <t>25. oktober 2022</t>
  </si>
  <si>
    <t>2022-0076530
2022-0099261</t>
  </si>
  <si>
    <t>2022-0056113</t>
  </si>
  <si>
    <t>Lybækgade</t>
  </si>
  <si>
    <t>2003/2004</t>
  </si>
  <si>
    <t>9. december 2022</t>
  </si>
  <si>
    <t>2022-0003430</t>
  </si>
  <si>
    <t xml:space="preserve">Gullandsgade </t>
  </si>
  <si>
    <t>8. december 2022</t>
  </si>
  <si>
    <t>2021-0356668</t>
  </si>
  <si>
    <t xml:space="preserve">Lombardigade </t>
  </si>
  <si>
    <t>22. november 2022</t>
  </si>
  <si>
    <t>2021-0329746</t>
  </si>
  <si>
    <t xml:space="preserve">Bøhmensgade </t>
  </si>
  <si>
    <t xml:space="preserve">København S </t>
  </si>
  <si>
    <t>30. juni 2022</t>
  </si>
  <si>
    <t>2021-0254827</t>
  </si>
  <si>
    <t>Kingosgade</t>
  </si>
  <si>
    <t xml:space="preserve">1. september 2020 </t>
  </si>
  <si>
    <t>2021-0341361</t>
  </si>
  <si>
    <t>Ny Carlsberg Vej</t>
  </si>
  <si>
    <t>15. maj 2020</t>
  </si>
  <si>
    <t>23. februar 2022</t>
  </si>
  <si>
    <t>2022-0185571</t>
  </si>
  <si>
    <t>Colbjørnsensgade</t>
  </si>
  <si>
    <t>15. september 2019</t>
  </si>
  <si>
    <t>13. december 2022</t>
  </si>
  <si>
    <t>2021-0193610
2021-0199777</t>
  </si>
  <si>
    <t>Lipkesgade</t>
  </si>
  <si>
    <t>2021-0327887</t>
  </si>
  <si>
    <t xml:space="preserve">Kastelsvej </t>
  </si>
  <si>
    <t xml:space="preserve">15. maj 2019 </t>
  </si>
  <si>
    <t>2021-0347559
2021-0342910</t>
  </si>
  <si>
    <t xml:space="preserve">Dag Hammarskjölds Alle </t>
  </si>
  <si>
    <t xml:space="preserve">København Ø </t>
  </si>
  <si>
    <t>15. november 2019</t>
  </si>
  <si>
    <t>2021-0178854</t>
  </si>
  <si>
    <t xml:space="preserve">Nygårdsvej </t>
  </si>
  <si>
    <t xml:space="preserve"> 1. januar 2020</t>
  </si>
  <si>
    <t>2004/2005</t>
  </si>
  <si>
    <t>2021-0031354</t>
  </si>
  <si>
    <t>15. august 2019.</t>
  </si>
  <si>
    <t>18. august 2021</t>
  </si>
  <si>
    <t>2021-0024669 
2021-0032480</t>
  </si>
  <si>
    <t xml:space="preserve">Øster Farimagsgade </t>
  </si>
  <si>
    <t>15. januar 2019</t>
  </si>
  <si>
    <t>2021-0158957 
2021-0182524</t>
  </si>
  <si>
    <t xml:space="preserve">Ringstedgade </t>
  </si>
  <si>
    <t>7. oktober 2021</t>
  </si>
  <si>
    <t>2021-0326032</t>
  </si>
  <si>
    <t xml:space="preserve">Masnedøgade </t>
  </si>
  <si>
    <t>2021-0151380</t>
  </si>
  <si>
    <t xml:space="preserve">Willemoesgade </t>
  </si>
  <si>
    <t>1. januar 2019.</t>
  </si>
  <si>
    <t>2021-0316237</t>
  </si>
  <si>
    <t>2021-0031322 
2021-0058671</t>
  </si>
  <si>
    <t xml:space="preserve">Tåsingegade </t>
  </si>
  <si>
    <t>15. oktober 2019</t>
  </si>
  <si>
    <t>16. september 2021</t>
  </si>
  <si>
    <t>2021-0004923</t>
  </si>
  <si>
    <t xml:space="preserve">Koldinggade </t>
  </si>
  <si>
    <t>4. maj 2018</t>
  </si>
  <si>
    <t>2022-0045351 
2022-0070542</t>
  </si>
  <si>
    <t>Ringstedgade</t>
  </si>
  <si>
    <t>2021-0325919</t>
  </si>
  <si>
    <t>5. januar 2022</t>
  </si>
  <si>
    <t>2021-0193592 
2021-0226909</t>
  </si>
  <si>
    <t xml:space="preserve">Kong Oscars Gade </t>
  </si>
  <si>
    <t xml:space="preserve">20. februar 2020 </t>
  </si>
  <si>
    <t>2022-0049037</t>
  </si>
  <si>
    <t xml:space="preserve">Viborggade </t>
  </si>
  <si>
    <t xml:space="preserve">15. juni 2020 </t>
  </si>
  <si>
    <t>2021-0335153</t>
  </si>
  <si>
    <t xml:space="preserve">1. oktober 2019 </t>
  </si>
  <si>
    <t>6. december 2022</t>
  </si>
  <si>
    <t>2021-0390647</t>
  </si>
  <si>
    <t xml:space="preserve">Lyngbyvej </t>
  </si>
  <si>
    <t>2021-0031344 
2021-0058719</t>
  </si>
  <si>
    <t>15. juli 2019</t>
  </si>
  <si>
    <t>2022-0045887 2022-0070500</t>
  </si>
  <si>
    <t>2021-0407577</t>
  </si>
  <si>
    <t xml:space="preserve">Holsteinsgade </t>
  </si>
  <si>
    <t>1. juni 2017</t>
  </si>
  <si>
    <t>22. juni 2022</t>
  </si>
  <si>
    <t>2021-0303975</t>
  </si>
  <si>
    <t>2021-0311899</t>
  </si>
  <si>
    <t xml:space="preserve">Ved Klosteret </t>
  </si>
  <si>
    <t>2021-0327978</t>
  </si>
  <si>
    <t xml:space="preserve">Øster Søgade </t>
  </si>
  <si>
    <t xml:space="preserve">1. juni 2019 </t>
  </si>
  <si>
    <t>24. oktober 2022</t>
  </si>
  <si>
    <t>2021-0004949</t>
  </si>
  <si>
    <t xml:space="preserve">Blegdamsvej </t>
  </si>
  <si>
    <t>2021-0372105</t>
  </si>
  <si>
    <t xml:space="preserve">Strandvejen </t>
  </si>
  <si>
    <t>15. februar 2018</t>
  </si>
  <si>
    <t>14. marts 2022</t>
  </si>
  <si>
    <t>2021-0335365</t>
  </si>
  <si>
    <t>2021-0319943 
2021-0330309</t>
  </si>
  <si>
    <t>2021-0368748</t>
  </si>
  <si>
    <t>2021-0336484</t>
  </si>
  <si>
    <t xml:space="preserve">Østerbrogade </t>
  </si>
  <si>
    <t>2021-0249400</t>
  </si>
  <si>
    <t xml:space="preserve">Vestervang </t>
  </si>
  <si>
    <t>1. september 2020</t>
  </si>
  <si>
    <t>2021-0343161</t>
  </si>
  <si>
    <t>2021-0226885</t>
  </si>
  <si>
    <t>15. april 2020</t>
  </si>
  <si>
    <t>2022-0242004</t>
  </si>
  <si>
    <t xml:space="preserve">Vigerslevvej </t>
  </si>
  <si>
    <t>1. august 2017</t>
  </si>
  <si>
    <t>aconto vand 200</t>
  </si>
  <si>
    <t>24. november 2022</t>
  </si>
  <si>
    <t>2022-0060707
2022-0087278</t>
  </si>
  <si>
    <t xml:space="preserve">Gammel Jernbanevej </t>
  </si>
  <si>
    <t>2021-0400733</t>
  </si>
  <si>
    <t>Mølle Alle</t>
  </si>
  <si>
    <t xml:space="preserve">1. december 2019 </t>
  </si>
  <si>
    <t>2021-0414294</t>
  </si>
  <si>
    <t>15. september 2020</t>
  </si>
  <si>
    <t>2021-0292200 
2021-0313068</t>
  </si>
  <si>
    <t xml:space="preserve">Åbakkevej </t>
  </si>
  <si>
    <t>15. august 2019</t>
  </si>
  <si>
    <t> Gennemsnit:</t>
  </si>
  <si>
    <t xml:space="preserve">                                                         -  </t>
  </si>
  <si>
    <t xml:space="preserve"> Samlede antal sager: </t>
  </si>
  <si>
    <t>Antal nedsættelser af aftalt leje:</t>
  </si>
  <si>
    <t>Antal godkendelser af aftalt leje:</t>
  </si>
  <si>
    <t xml:space="preserve"> Fra gennemsnitlig leje
(m², årligt): </t>
  </si>
  <si>
    <t> </t>
  </si>
  <si>
    <t xml:space="preserve"> Gennemsnitlig leje
 (m², årligt): </t>
  </si>
  <si>
    <t>Til gennemsnitlig leje
(m², årligt):</t>
  </si>
  <si>
    <t xml:space="preserve"> Gennemsnitlig ændring
 (m², årligt): </t>
  </si>
  <si>
    <t xml:space="preserve"> Gennemsnitlig ændring
(m², årligt): </t>
  </si>
  <si>
    <t xml:space="preserve"> Gennemsnitlig
procentvis ændring
(m², årligt): </t>
  </si>
  <si>
    <t xml:space="preserve"> Gennemsnitlig procentvis ændring
(m², årligt): </t>
  </si>
  <si>
    <t>Lejefastsættelses-tidspunkt</t>
  </si>
  <si>
    <t>Koldt vand aconto</t>
  </si>
  <si>
    <t>Moderniseringsgrad</t>
  </si>
  <si>
    <t>2021-0313087</t>
  </si>
  <si>
    <t xml:space="preserve">Valborg Alle </t>
  </si>
  <si>
    <t>Tilbagebetaling af aconto vand</t>
  </si>
  <si>
    <t>Nyere moderniseret køkken
Moderniseret badeværelse</t>
  </si>
  <si>
    <t>2021-0373393</t>
  </si>
  <si>
    <t>Nyere moderniseret</t>
  </si>
  <si>
    <t>2021-0183733 
2021-0238415</t>
  </si>
  <si>
    <t>Fanøgade</t>
  </si>
  <si>
    <t>2022-0073144 
2022-0087199</t>
  </si>
  <si>
    <t xml:space="preserve">Strandboulevarden </t>
  </si>
  <si>
    <t>6. februar 2017</t>
  </si>
  <si>
    <t>Aconto vand 143,33</t>
  </si>
  <si>
    <t>26. august 2022</t>
  </si>
  <si>
    <t>2021-0064570 
2021-0076006</t>
  </si>
  <si>
    <t xml:space="preserve">Prags Boulevard </t>
  </si>
  <si>
    <t>18. august 2019</t>
  </si>
  <si>
    <t xml:space="preserve">Ældre moderniseret </t>
  </si>
  <si>
    <t>2022-0006340</t>
  </si>
  <si>
    <t xml:space="preserve">H.C. Andersens Boulevard </t>
  </si>
  <si>
    <t xml:space="preserve">9. januar 2019 </t>
  </si>
  <si>
    <t>2021-0316555</t>
  </si>
  <si>
    <t xml:space="preserve">Rosenvængets Alle </t>
  </si>
  <si>
    <t xml:space="preserve">8. april 2019 </t>
  </si>
  <si>
    <t>2021-0002435</t>
  </si>
  <si>
    <t>Morsøvej</t>
  </si>
  <si>
    <t>25. august 2021</t>
  </si>
  <si>
    <t>2021-0392445</t>
  </si>
  <si>
    <t xml:space="preserve">Bjelkes Alle </t>
  </si>
  <si>
    <t>Aconto vand 800</t>
  </si>
  <si>
    <t>17. oktober 2022</t>
  </si>
  <si>
    <t>2021-0374730 
2021-0389547</t>
  </si>
  <si>
    <t xml:space="preserve">Torvegade </t>
  </si>
  <si>
    <t xml:space="preserve">1. marts 2020 </t>
  </si>
  <si>
    <t>2022-0144741</t>
  </si>
  <si>
    <t xml:space="preserve">Bremensgade </t>
  </si>
  <si>
    <t>1. oktober 2019</t>
  </si>
  <si>
    <t>9. august 2022</t>
  </si>
  <si>
    <t>2021-0385540</t>
  </si>
  <si>
    <t xml:space="preserve">Marathonvej </t>
  </si>
  <si>
    <t xml:space="preserve"> Aconto vand 700 kvartalvis</t>
  </si>
  <si>
    <t>27. sep. 2022</t>
  </si>
  <si>
    <t>2021-0258432</t>
  </si>
  <si>
    <t>Retortvej</t>
  </si>
  <si>
    <t xml:space="preserve">1. december 2018 </t>
  </si>
  <si>
    <t>4. januar 2022</t>
  </si>
  <si>
    <t>2021-0219789</t>
  </si>
  <si>
    <t xml:space="preserve">Nyhavn </t>
  </si>
  <si>
    <t xml:space="preserve">1. august 2018 </t>
  </si>
  <si>
    <t>Ældre moderniseret køkken
Nyere moderniseret badeværelse</t>
  </si>
  <si>
    <t>2021-0048169</t>
  </si>
  <si>
    <t xml:space="preserve">Backersvej </t>
  </si>
  <si>
    <t>Ældre moderniseret køkken
Oprindeligt badeværelse</t>
  </si>
  <si>
    <t>2022-0233235</t>
  </si>
  <si>
    <t xml:space="preserve">Studiestræde </t>
  </si>
  <si>
    <t>Moderniseret</t>
  </si>
  <si>
    <t>15. december 2022</t>
  </si>
  <si>
    <t>2022-0006231</t>
  </si>
  <si>
    <t xml:space="preserve">Rosbæksvej </t>
  </si>
  <si>
    <t>Oprindeligt køkken
Moderniseret badeværelse</t>
  </si>
  <si>
    <t>23. september 2022</t>
  </si>
  <si>
    <t>2022-0079907 2022-0093833</t>
  </si>
  <si>
    <t>1. maj 2019</t>
  </si>
  <si>
    <t>Aconto vand 300</t>
  </si>
  <si>
    <t>27. september 2022</t>
  </si>
  <si>
    <t>2021-0416756</t>
  </si>
  <si>
    <t xml:space="preserve">Brønshøj </t>
  </si>
  <si>
    <t>10. august 2020</t>
  </si>
  <si>
    <t>Nyere moderniseret køkken
Oprindeligt badeværelse</t>
  </si>
  <si>
    <t>2021-0331268</t>
  </si>
  <si>
    <t xml:space="preserve">Bellahøjvej </t>
  </si>
  <si>
    <t>16. december 2019</t>
  </si>
  <si>
    <t>2021-0402879
2021-0416061</t>
  </si>
  <si>
    <t>Ældre moderniseret</t>
  </si>
  <si>
    <t>2021-0007886</t>
  </si>
  <si>
    <t xml:space="preserve">Dagmarsgade </t>
  </si>
  <si>
    <t>Nyere moderniseret køkken
Ældre moderniseret badeværelse</t>
  </si>
  <si>
    <t>2022-0148584</t>
  </si>
  <si>
    <t xml:space="preserve">Livjægergade </t>
  </si>
  <si>
    <t>Aconto vand 150</t>
  </si>
  <si>
    <t>2021-0336531 
2021-0336659</t>
  </si>
  <si>
    <t xml:space="preserve">Bartholinsgade </t>
  </si>
  <si>
    <t xml:space="preserve">28. september 2018 </t>
  </si>
  <si>
    <t>Oprindeligt køkken
Nyere moderniseret badeværelse</t>
  </si>
  <si>
    <t>2021-0319911 
2021-0336441</t>
  </si>
  <si>
    <t xml:space="preserve">1. januar 2018 </t>
  </si>
  <si>
    <t>2021-0331474</t>
  </si>
  <si>
    <t xml:space="preserve">Jagtvej </t>
  </si>
  <si>
    <t>2021-0374763</t>
  </si>
  <si>
    <t xml:space="preserve">Hyltebjerg Alle </t>
  </si>
  <si>
    <t>Aconto vand 200</t>
  </si>
  <si>
    <t>2021-0259298</t>
  </si>
  <si>
    <t xml:space="preserve">Fælledvejens Passage </t>
  </si>
  <si>
    <t xml:space="preserve">1. maj 2020 </t>
  </si>
  <si>
    <t>Tilbagebetaling af opkrævet aconto vand + ændring af vedligeholdelsespligten</t>
  </si>
  <si>
    <t>15. november 2021</t>
  </si>
  <si>
    <t>2021-0303738</t>
  </si>
  <si>
    <t>Hardenbergvej</t>
  </si>
  <si>
    <t>1. april 2020</t>
  </si>
  <si>
    <t>Oprindeligt</t>
  </si>
  <si>
    <t>3. januar 2022</t>
  </si>
  <si>
    <t>2021-0328659</t>
  </si>
  <si>
    <t xml:space="preserve">Lille Strandstræde </t>
  </si>
  <si>
    <t>2021-0015123</t>
  </si>
  <si>
    <t>Vendsysselvej</t>
  </si>
  <si>
    <t xml:space="preserve"> Aconto vand 500</t>
  </si>
  <si>
    <t>8. juni 2021</t>
  </si>
  <si>
    <t>2021-0245680</t>
  </si>
  <si>
    <t xml:space="preserve">Klosterstræde </t>
  </si>
  <si>
    <t>2021-0138612</t>
  </si>
  <si>
    <t xml:space="preserve">Adelgade </t>
  </si>
  <si>
    <t>2021-0008022</t>
  </si>
  <si>
    <t xml:space="preserve">Johan Kellers Vej </t>
  </si>
  <si>
    <t>København SV</t>
  </si>
  <si>
    <t>2021-0384697</t>
  </si>
  <si>
    <t xml:space="preserve">Rosenborggade </t>
  </si>
  <si>
    <t xml:space="preserve">1. november 2019 </t>
  </si>
  <si>
    <t xml:space="preserve">I alt </t>
  </si>
  <si>
    <r>
      <rPr>
        <b/>
        <sz val="11"/>
        <color rgb="FF000000"/>
        <rFont val="Calibri"/>
        <family val="2"/>
      </rPr>
      <t>Gennensnit</t>
    </r>
    <r>
      <rPr>
        <sz val="11"/>
        <color indexed="8"/>
        <rFont val="Calibri"/>
        <family val="2"/>
      </rPr>
      <t xml:space="preserve"> (56 sager med afgørelse)</t>
    </r>
  </si>
  <si>
    <t>Koldt vand</t>
  </si>
  <si>
    <t>2022-0131020</t>
  </si>
  <si>
    <t xml:space="preserve">Rebekkavej </t>
  </si>
  <si>
    <t>1. marts 2021</t>
  </si>
  <si>
    <t>19. oktober 2022</t>
  </si>
  <si>
    <t>2022-0131018</t>
  </si>
  <si>
    <t>2022-0130993</t>
  </si>
  <si>
    <t>2022-0130955</t>
  </si>
  <si>
    <t>Moderniseret køkken
Nyere moderniseret badeværelse</t>
  </si>
  <si>
    <t>2021-0271425 
2021-0295598</t>
  </si>
  <si>
    <t xml:space="preserve">Ruthsvej </t>
  </si>
  <si>
    <t>1. august 2020.</t>
  </si>
  <si>
    <t>Moderniseret køkken
Oprindelig badeværelse</t>
  </si>
  <si>
    <t>2021-0271434</t>
  </si>
  <si>
    <t xml:space="preserve">Hellerup </t>
  </si>
  <si>
    <t>2021-0380216</t>
  </si>
  <si>
    <t>Grønnegade</t>
  </si>
  <si>
    <t>1. juni 2020</t>
  </si>
  <si>
    <t>2021-0311494</t>
  </si>
  <si>
    <t xml:space="preserve">Sølvgade </t>
  </si>
  <si>
    <t>1. maj 2021</t>
  </si>
  <si>
    <t>2021-0404896</t>
  </si>
  <si>
    <t xml:space="preserve">Amagerbrogade </t>
  </si>
  <si>
    <t>2021-0351185</t>
  </si>
  <si>
    <t>1. november 2020</t>
  </si>
  <si>
    <t>Nyere moderniseret
køkken og
oprindelig badeværelse</t>
  </si>
  <si>
    <t>2022-0117014</t>
  </si>
  <si>
    <t xml:space="preserve">Dannebrogsgade </t>
  </si>
  <si>
    <t xml:space="preserve">København V </t>
  </si>
  <si>
    <t>1. januar 2022</t>
  </si>
  <si>
    <t>Oprindelig og moderniseret 
elementer</t>
  </si>
  <si>
    <t>18. oktober 2022</t>
  </si>
  <si>
    <t>2022-0252010</t>
  </si>
  <si>
    <t xml:space="preserve">Landskronagade </t>
  </si>
  <si>
    <t>Ældre moderniseret køkken
Moderniseret badeværelse</t>
  </si>
  <si>
    <t>2021-0292260</t>
  </si>
  <si>
    <t xml:space="preserve">Gunhildsgade </t>
  </si>
  <si>
    <t>Oprindelig</t>
  </si>
  <si>
    <t>2021-0256530</t>
  </si>
  <si>
    <t>1. december 2020</t>
  </si>
  <si>
    <t>2022-0234653</t>
  </si>
  <si>
    <t xml:space="preserve">Højbovej </t>
  </si>
  <si>
    <t>14. oktober 2022</t>
  </si>
  <si>
    <t xml:space="preserve">Valby </t>
  </si>
  <si>
    <t>Ælder moderniseret</t>
  </si>
  <si>
    <t>2022-0311970</t>
  </si>
  <si>
    <t xml:space="preserve">Slotsherrensvej  </t>
  </si>
  <si>
    <t xml:space="preserve">Vanløse </t>
  </si>
  <si>
    <t>1. februar 2022</t>
  </si>
  <si>
    <t>Antal forhøjelser af aftalt leje:</t>
  </si>
  <si>
    <t>Antal fastholdelser af aftalt leje:</t>
  </si>
  <si>
    <t>Aftalt leje, måned</t>
  </si>
  <si>
    <t>Godkendt leje pr. måned</t>
  </si>
  <si>
    <t>Klubværelse/ accessorisk</t>
  </si>
  <si>
    <t>2022-0182637</t>
  </si>
  <si>
    <t>Kjeld Langes Gade</t>
  </si>
  <si>
    <t>accessorisk</t>
  </si>
  <si>
    <t>nyere moderniseret</t>
  </si>
  <si>
    <t>2022-0049249</t>
  </si>
  <si>
    <t xml:space="preserve">Nørregade </t>
  </si>
  <si>
    <t>moderniseret,
oprindeligt toilet</t>
  </si>
  <si>
    <t>2022-0171318</t>
  </si>
  <si>
    <t xml:space="preserve">Larsbjørnsstræde </t>
  </si>
  <si>
    <t xml:space="preserve">1. december 2020 </t>
  </si>
  <si>
    <t>klubværelse</t>
  </si>
  <si>
    <t>2021-0366308</t>
  </si>
  <si>
    <t>Korsgade</t>
  </si>
  <si>
    <t>9. september 2022</t>
  </si>
  <si>
    <t>2021-0002761</t>
  </si>
  <si>
    <t>Biens Alle</t>
  </si>
  <si>
    <t>1. december 2019</t>
  </si>
  <si>
    <t>moderniseret</t>
  </si>
  <si>
    <t>21. juni 2021</t>
  </si>
  <si>
    <t>2021-0002748</t>
  </si>
  <si>
    <t>2022-0122720</t>
  </si>
  <si>
    <t xml:space="preserve">Anders Henriksens Gade </t>
  </si>
  <si>
    <t xml:space="preserve">1. april 2020 </t>
  </si>
  <si>
    <t>2021-0354668</t>
  </si>
  <si>
    <t>Strandlodsvej</t>
  </si>
  <si>
    <t xml:space="preserve">1. juli 2020 </t>
  </si>
  <si>
    <t>2021-0001468</t>
  </si>
  <si>
    <t xml:space="preserve">Saxogade </t>
  </si>
  <si>
    <t>2021-0367190</t>
  </si>
  <si>
    <t>Østbanegade</t>
  </si>
  <si>
    <t xml:space="preserve">20. januar 2020 </t>
  </si>
  <si>
    <t>2021-0290159</t>
  </si>
  <si>
    <t xml:space="preserve">Australiensvej </t>
  </si>
  <si>
    <t>2021-0207374</t>
  </si>
  <si>
    <t>2021-0053651</t>
  </si>
  <si>
    <t>2021-0243929</t>
  </si>
  <si>
    <t>1. september 2019</t>
  </si>
  <si>
    <t>26. oktober 2021</t>
  </si>
  <si>
    <t>2021-0243925</t>
  </si>
  <si>
    <t>2021-0243920</t>
  </si>
  <si>
    <t xml:space="preserve">1. februar 2019 </t>
  </si>
  <si>
    <t>2021-0243918</t>
  </si>
  <si>
    <t xml:space="preserve">15. januar 2020 </t>
  </si>
  <si>
    <t>2021-0243914</t>
  </si>
  <si>
    <t>Willemoesgade</t>
  </si>
  <si>
    <t>2021-0243902</t>
  </si>
  <si>
    <t>2021-0243895</t>
  </si>
  <si>
    <t>2021-0243888</t>
  </si>
  <si>
    <t>2021-0243881</t>
  </si>
  <si>
    <t>2021-0243875</t>
  </si>
  <si>
    <t>2021-0243867</t>
  </si>
  <si>
    <t>2021-0243856</t>
  </si>
  <si>
    <t>2021-0018360</t>
  </si>
  <si>
    <t>Jacob Erlandsens Gade</t>
  </si>
  <si>
    <t>2021-0308154</t>
  </si>
  <si>
    <t xml:space="preserve">Mølle Alle </t>
  </si>
  <si>
    <t>3. december 2021</t>
  </si>
  <si>
    <t>2021-0002508</t>
  </si>
  <si>
    <t>2021-0096890</t>
  </si>
  <si>
    <t>Clausholmvej</t>
  </si>
  <si>
    <t xml:space="preserve">1. juli 2019 </t>
  </si>
  <si>
    <t>tekøkken u. vand/moderniseret</t>
  </si>
  <si>
    <t>Lejen pr.</t>
  </si>
  <si>
    <t>Godkendt leje pr. m², årlig inkl. hensættelser</t>
  </si>
  <si>
    <t>2020-0821488</t>
  </si>
  <si>
    <t>Jernbane Alle</t>
  </si>
  <si>
    <t xml:space="preserve"> Vanløse</t>
  </si>
  <si>
    <t>1. april 2018</t>
  </si>
  <si>
    <t>Moderniseret i 2018</t>
  </si>
  <si>
    <t>2020-0817182</t>
  </si>
  <si>
    <t>Esthersvej</t>
  </si>
  <si>
    <t>16. maj 2019</t>
  </si>
  <si>
    <t>5,2-moderniseret i 2018/19</t>
  </si>
  <si>
    <t>4. januar 2021</t>
  </si>
  <si>
    <t>2021-0099364</t>
  </si>
  <si>
    <t>2015 efter 62b-aftale</t>
  </si>
  <si>
    <t>2020-0807218</t>
  </si>
  <si>
    <t xml:space="preserve">Grønnegade </t>
  </si>
  <si>
    <t>5,2-moderniseret i 2017</t>
  </si>
  <si>
    <t>2020-0908665</t>
  </si>
  <si>
    <t>5,2-moderniseret i 2014</t>
  </si>
  <si>
    <t>2020-0843813</t>
  </si>
  <si>
    <t xml:space="preserve">Oehlenschlægersgade </t>
  </si>
  <si>
    <t>2004 efter 62b-aftale</t>
  </si>
  <si>
    <t>2019-0353277</t>
  </si>
  <si>
    <t>Ved Kildevældskirken</t>
  </si>
  <si>
    <t>1. januar 2016</t>
  </si>
  <si>
    <t>Moderniseret i 2013</t>
  </si>
  <si>
    <t>22. december 2020</t>
  </si>
  <si>
    <t>2020-0008586</t>
  </si>
  <si>
    <t xml:space="preserve">Bryggervangen </t>
  </si>
  <si>
    <t>2020-0803349</t>
  </si>
  <si>
    <t xml:space="preserve">Visbygade </t>
  </si>
  <si>
    <t>Moderniseret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</si>
</sst>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  <numFmt numFmtId="165" formatCode="#,##0.00\ &quot;kr.&quot;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.5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.5"/>
      <color theme="1"/>
      <name val="KBH"/>
    </font>
    <font>
      <sz val="10.5"/>
      <color rgb="FF000000"/>
      <name val="KBH"/>
    </font>
    <font>
      <b/>
      <sz val="10.5"/>
      <color rgb="FF000000"/>
      <name val="KBH"/>
    </font>
    <font>
      <b/>
      <sz val="10.5"/>
      <color theme="1"/>
      <name val="KBH"/>
    </font>
    <font>
      <sz val="10.5"/>
      <color rgb="FF444444"/>
      <name val="KBH"/>
    </font>
    <font>
      <sz val="10.5"/>
      <color indexed="8"/>
      <name val="KBH"/>
    </font>
    <font>
      <b/>
      <sz val="10.5"/>
      <color rgb="FF444444"/>
      <name val="KBH"/>
    </font>
    <font>
      <sz val="9.5"/>
      <color theme="1"/>
      <name val="KBH"/>
    </font>
    <font>
      <sz val="9.5"/>
      <color rgb="FF000000"/>
      <name val="KBH"/>
      <charset val="1"/>
    </font>
    <font>
      <b/>
      <sz val="12"/>
      <color rgb="FF000000"/>
      <name val="KBH"/>
    </font>
    <font>
      <b/>
      <sz val="12"/>
      <color rgb="FF141414"/>
      <name val="KBH"/>
    </font>
    <font>
      <b/>
      <sz val="12"/>
      <color rgb="FF000000"/>
      <name val="Calibri"/>
    </font>
    <font>
      <sz val="11"/>
      <color indexed="8"/>
      <name val="Calibri"/>
    </font>
    <font>
      <sz val="11"/>
      <color rgb="FF444444"/>
      <name val="Calibri"/>
      <family val="2"/>
      <charset val="1"/>
    </font>
    <font>
      <b/>
      <sz val="12"/>
      <color rgb="FFFFFFFF"/>
      <name val="KBH"/>
    </font>
    <font>
      <sz val="12"/>
      <color theme="1"/>
      <name val="KBH"/>
    </font>
    <font>
      <b/>
      <sz val="12"/>
      <color theme="0"/>
      <name val="KBH"/>
    </font>
    <font>
      <sz val="12"/>
      <color theme="1"/>
      <name val="Calibri"/>
      <family val="2"/>
      <scheme val="minor"/>
    </font>
    <font>
      <b/>
      <sz val="12"/>
      <color theme="1"/>
      <name val="KBH"/>
    </font>
    <font>
      <b/>
      <sz val="12"/>
      <color indexed="8"/>
      <name val="KBH"/>
    </font>
    <font>
      <sz val="10.5"/>
      <color rgb="FF000000"/>
      <name val="KBH Tekst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KBH Tekst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BDBDB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2" borderId="0" xfId="0" applyFont="1" applyFill="1"/>
    <xf numFmtId="0" fontId="0" fillId="2" borderId="0" xfId="0" applyFill="1"/>
    <xf numFmtId="4" fontId="0" fillId="2" borderId="0" xfId="0" applyNumberFormat="1" applyFill="1"/>
    <xf numFmtId="43" fontId="0" fillId="2" borderId="0" xfId="1" applyFont="1" applyFill="1"/>
    <xf numFmtId="43" fontId="0" fillId="0" borderId="0" xfId="1" applyFont="1"/>
    <xf numFmtId="0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0" fontId="0" fillId="3" borderId="0" xfId="0" applyFill="1"/>
    <xf numFmtId="4" fontId="0" fillId="3" borderId="0" xfId="0" applyNumberFormat="1" applyFill="1"/>
    <xf numFmtId="43" fontId="0" fillId="3" borderId="0" xfId="1" applyFont="1" applyFill="1" applyAlignment="1">
      <alignment horizontal="right"/>
    </xf>
    <xf numFmtId="43" fontId="0" fillId="3" borderId="0" xfId="1" applyFont="1" applyFill="1"/>
    <xf numFmtId="0" fontId="2" fillId="3" borderId="0" xfId="0" applyFont="1" applyFill="1"/>
    <xf numFmtId="0" fontId="8" fillId="0" borderId="0" xfId="0" applyFont="1" applyAlignment="1">
      <alignment vertical="center"/>
    </xf>
    <xf numFmtId="164" fontId="0" fillId="0" borderId="0" xfId="1" applyNumberFormat="1" applyFont="1" applyFill="1"/>
    <xf numFmtId="164" fontId="4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5" fontId="0" fillId="0" borderId="0" xfId="0" applyNumberFormat="1"/>
    <xf numFmtId="165" fontId="0" fillId="3" borderId="0" xfId="1" applyNumberFormat="1" applyFont="1" applyFill="1"/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5" borderId="0" xfId="0" applyFont="1" applyFill="1"/>
    <xf numFmtId="0" fontId="11" fillId="0" borderId="0" xfId="0" applyFont="1" applyAlignment="1">
      <alignment wrapText="1"/>
    </xf>
    <xf numFmtId="44" fontId="12" fillId="0" borderId="0" xfId="2" applyFont="1"/>
    <xf numFmtId="44" fontId="12" fillId="0" borderId="0" xfId="2" applyFont="1" applyBorder="1"/>
    <xf numFmtId="44" fontId="11" fillId="0" borderId="0" xfId="2" applyFont="1"/>
    <xf numFmtId="44" fontId="14" fillId="0" borderId="0" xfId="2" applyFont="1"/>
    <xf numFmtId="0" fontId="12" fillId="5" borderId="0" xfId="0" applyFont="1" applyFill="1" applyAlignment="1">
      <alignment wrapText="1"/>
    </xf>
    <xf numFmtId="1" fontId="0" fillId="0" borderId="0" xfId="1" applyNumberFormat="1" applyFont="1"/>
    <xf numFmtId="1" fontId="0" fillId="0" borderId="1" xfId="1" applyNumberFormat="1" applyFont="1" applyBorder="1"/>
    <xf numFmtId="1" fontId="0" fillId="2" borderId="0" xfId="0" applyNumberFormat="1" applyFill="1"/>
    <xf numFmtId="1" fontId="0" fillId="3" borderId="0" xfId="1" applyNumberFormat="1" applyFont="1" applyFill="1" applyAlignment="1">
      <alignment horizontal="right"/>
    </xf>
    <xf numFmtId="0" fontId="15" fillId="0" borderId="0" xfId="0" applyFont="1"/>
    <xf numFmtId="0" fontId="16" fillId="0" borderId="0" xfId="0" applyFont="1"/>
    <xf numFmtId="1" fontId="11" fillId="0" borderId="0" xfId="1" applyNumberFormat="1" applyFont="1"/>
    <xf numFmtId="0" fontId="11" fillId="0" borderId="0" xfId="1" applyNumberFormat="1" applyFont="1"/>
    <xf numFmtId="0" fontId="19" fillId="0" borderId="0" xfId="0" applyFont="1"/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center" vertical="top" wrapText="1"/>
    </xf>
    <xf numFmtId="44" fontId="12" fillId="0" borderId="0" xfId="2" applyFont="1" applyFill="1"/>
    <xf numFmtId="44" fontId="13" fillId="0" borderId="0" xfId="2" applyFont="1" applyFill="1"/>
    <xf numFmtId="0" fontId="13" fillId="0" borderId="0" xfId="0" applyFont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44" fontId="13" fillId="0" borderId="0" xfId="2" applyFont="1" applyBorder="1"/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10" fontId="20" fillId="6" borderId="5" xfId="0" applyNumberFormat="1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165" fontId="20" fillId="7" borderId="7" xfId="0" applyNumberFormat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10" fontId="20" fillId="7" borderId="7" xfId="0" applyNumberFormat="1" applyFont="1" applyFill="1" applyBorder="1" applyAlignment="1">
      <alignment horizontal="center" vertical="center"/>
    </xf>
    <xf numFmtId="8" fontId="20" fillId="7" borderId="7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10" fontId="20" fillId="6" borderId="10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10" fontId="20" fillId="6" borderId="1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8" fillId="0" borderId="0" xfId="0" applyFont="1"/>
    <xf numFmtId="0" fontId="12" fillId="0" borderId="23" xfId="0" applyFont="1" applyBorder="1"/>
    <xf numFmtId="0" fontId="15" fillId="0" borderId="23" xfId="0" applyFont="1" applyBorder="1"/>
    <xf numFmtId="0" fontId="16" fillId="0" borderId="23" xfId="0" applyFont="1" applyBorder="1"/>
    <xf numFmtId="1" fontId="11" fillId="0" borderId="23" xfId="1" applyNumberFormat="1" applyFont="1" applyBorder="1"/>
    <xf numFmtId="165" fontId="11" fillId="0" borderId="23" xfId="0" applyNumberFormat="1" applyFont="1" applyBorder="1"/>
    <xf numFmtId="0" fontId="12" fillId="0" borderId="23" xfId="0" applyFont="1" applyBorder="1" applyAlignment="1">
      <alignment wrapText="1"/>
    </xf>
    <xf numFmtId="0" fontId="25" fillId="0" borderId="2" xfId="0" applyFont="1" applyBorder="1" applyAlignment="1">
      <alignment horizontal="center"/>
    </xf>
    <xf numFmtId="44" fontId="25" fillId="0" borderId="2" xfId="2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8" fontId="20" fillId="7" borderId="11" xfId="0" applyNumberFormat="1" applyFont="1" applyFill="1" applyBorder="1" applyAlignment="1">
      <alignment horizontal="center" vertical="center"/>
    </xf>
    <xf numFmtId="8" fontId="20" fillId="7" borderId="2" xfId="0" applyNumberFormat="1" applyFont="1" applyFill="1" applyBorder="1" applyAlignment="1">
      <alignment horizontal="center" vertical="center"/>
    </xf>
    <xf numFmtId="165" fontId="20" fillId="7" borderId="2" xfId="0" applyNumberFormat="1" applyFont="1" applyFill="1" applyBorder="1" applyAlignment="1">
      <alignment horizontal="center" vertical="center"/>
    </xf>
    <xf numFmtId="10" fontId="20" fillId="7" borderId="2" xfId="0" applyNumberFormat="1" applyFont="1" applyFill="1" applyBorder="1" applyAlignment="1">
      <alignment horizontal="center" vertical="center"/>
    </xf>
    <xf numFmtId="0" fontId="12" fillId="0" borderId="0" xfId="1" applyNumberFormat="1" applyFont="1" applyFill="1"/>
    <xf numFmtId="0" fontId="25" fillId="0" borderId="0" xfId="0" applyFont="1" applyAlignment="1">
      <alignment horizontal="center"/>
    </xf>
    <xf numFmtId="44" fontId="25" fillId="0" borderId="0" xfId="2" applyFont="1" applyFill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44" fontId="31" fillId="0" borderId="0" xfId="2" applyFont="1" applyFill="1" applyAlignment="1">
      <alignment vertical="top"/>
    </xf>
    <xf numFmtId="3" fontId="31" fillId="0" borderId="0" xfId="0" applyNumberFormat="1" applyFont="1" applyAlignment="1">
      <alignment vertical="top"/>
    </xf>
    <xf numFmtId="4" fontId="31" fillId="0" borderId="0" xfId="0" applyNumberFormat="1" applyFont="1" applyAlignment="1">
      <alignment vertical="top"/>
    </xf>
    <xf numFmtId="44" fontId="11" fillId="0" borderId="0" xfId="2" applyFont="1" applyFill="1" applyAlignment="1">
      <alignment horizontal="center"/>
    </xf>
    <xf numFmtId="44" fontId="11" fillId="0" borderId="0" xfId="2" applyFont="1" applyFill="1" applyAlignment="1"/>
    <xf numFmtId="0" fontId="12" fillId="0" borderId="0" xfId="0" applyFont="1" applyAlignment="1">
      <alignment vertical="top"/>
    </xf>
    <xf numFmtId="0" fontId="25" fillId="0" borderId="1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20" fillId="6" borderId="25" xfId="0" applyFont="1" applyFill="1" applyBorder="1"/>
    <xf numFmtId="0" fontId="13" fillId="6" borderId="25" xfId="0" applyFont="1" applyFill="1" applyBorder="1"/>
    <xf numFmtId="0" fontId="13" fillId="6" borderId="5" xfId="0" applyFont="1" applyFill="1" applyBorder="1"/>
    <xf numFmtId="0" fontId="11" fillId="4" borderId="0" xfId="0" applyFont="1" applyFill="1"/>
    <xf numFmtId="165" fontId="11" fillId="0" borderId="0" xfId="1" applyNumberFormat="1" applyFont="1"/>
    <xf numFmtId="165" fontId="11" fillId="0" borderId="23" xfId="1" applyNumberFormat="1" applyFont="1" applyBorder="1"/>
    <xf numFmtId="165" fontId="17" fillId="0" borderId="0" xfId="0" quotePrefix="1" applyNumberFormat="1" applyFont="1"/>
    <xf numFmtId="165" fontId="17" fillId="0" borderId="23" xfId="0" quotePrefix="1" applyNumberFormat="1" applyFont="1" applyBorder="1"/>
    <xf numFmtId="165" fontId="11" fillId="0" borderId="0" xfId="0" applyNumberFormat="1" applyFont="1"/>
    <xf numFmtId="0" fontId="11" fillId="0" borderId="23" xfId="1" applyNumberFormat="1" applyFont="1" applyBorder="1"/>
    <xf numFmtId="165" fontId="12" fillId="0" borderId="0" xfId="1" applyNumberFormat="1" applyFont="1" applyFill="1"/>
    <xf numFmtId="165" fontId="12" fillId="0" borderId="0" xfId="0" applyNumberFormat="1" applyFont="1"/>
    <xf numFmtId="165" fontId="13" fillId="0" borderId="0" xfId="0" quotePrefix="1" applyNumberFormat="1" applyFont="1"/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horizontal="right"/>
    </xf>
    <xf numFmtId="49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vertical="top" wrapText="1"/>
    </xf>
    <xf numFmtId="44" fontId="12" fillId="0" borderId="0" xfId="2" applyFont="1" applyAlignment="1">
      <alignment vertical="top"/>
    </xf>
    <xf numFmtId="0" fontId="12" fillId="0" borderId="0" xfId="0" applyFont="1" applyAlignment="1">
      <alignment horizontal="right"/>
    </xf>
    <xf numFmtId="44" fontId="13" fillId="0" borderId="0" xfId="2" applyFont="1"/>
    <xf numFmtId="44" fontId="12" fillId="0" borderId="0" xfId="2" applyFont="1" applyAlignment="1"/>
    <xf numFmtId="0" fontId="20" fillId="6" borderId="25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center" vertical="center" wrapText="1"/>
    </xf>
    <xf numFmtId="49" fontId="12" fillId="5" borderId="0" xfId="0" applyNumberFormat="1" applyFont="1" applyFill="1" applyAlignment="1">
      <alignment wrapText="1"/>
    </xf>
    <xf numFmtId="0" fontId="22" fillId="0" borderId="0" xfId="0" quotePrefix="1" applyFont="1" applyAlignment="1">
      <alignment horizontal="center" vertical="center"/>
    </xf>
    <xf numFmtId="0" fontId="20" fillId="6" borderId="27" xfId="2" applyNumberFormat="1" applyFont="1" applyFill="1" applyBorder="1" applyAlignment="1">
      <alignment horizontal="center" vertical="center"/>
    </xf>
    <xf numFmtId="44" fontId="20" fillId="6" borderId="25" xfId="2" applyFont="1" applyFill="1" applyBorder="1" applyAlignment="1">
      <alignment vertical="center"/>
    </xf>
    <xf numFmtId="165" fontId="11" fillId="0" borderId="0" xfId="1" applyNumberFormat="1" applyFont="1" applyBorder="1"/>
    <xf numFmtId="1" fontId="11" fillId="0" borderId="0" xfId="1" applyNumberFormat="1" applyFont="1" applyBorder="1"/>
    <xf numFmtId="165" fontId="17" fillId="0" borderId="0" xfId="0" applyNumberFormat="1" applyFont="1"/>
    <xf numFmtId="0" fontId="12" fillId="0" borderId="2" xfId="0" applyFont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0" fontId="30" fillId="6" borderId="26" xfId="0" applyFont="1" applyFill="1" applyBorder="1"/>
    <xf numFmtId="165" fontId="29" fillId="6" borderId="26" xfId="1" applyNumberFormat="1" applyFont="1" applyFill="1" applyBorder="1"/>
    <xf numFmtId="0" fontId="29" fillId="6" borderId="26" xfId="0" applyFont="1" applyFill="1" applyBorder="1"/>
    <xf numFmtId="0" fontId="14" fillId="6" borderId="26" xfId="0" applyFont="1" applyFill="1" applyBorder="1"/>
    <xf numFmtId="0" fontId="14" fillId="6" borderId="14" xfId="0" applyFont="1" applyFill="1" applyBorder="1"/>
    <xf numFmtId="0" fontId="30" fillId="6" borderId="12" xfId="0" applyFont="1" applyFill="1" applyBorder="1" applyAlignment="1">
      <alignment horizontal="center" vertical="center" wrapText="1"/>
    </xf>
    <xf numFmtId="0" fontId="11" fillId="0" borderId="0" xfId="1" applyNumberFormat="1" applyFont="1" applyBorder="1"/>
    <xf numFmtId="0" fontId="12" fillId="0" borderId="2" xfId="0" applyFont="1" applyBorder="1"/>
    <xf numFmtId="0" fontId="12" fillId="0" borderId="28" xfId="0" applyFont="1" applyBorder="1"/>
    <xf numFmtId="165" fontId="29" fillId="6" borderId="26" xfId="1" applyNumberFormat="1" applyFont="1" applyFill="1" applyBorder="1" applyAlignment="1">
      <alignment vertical="center"/>
    </xf>
    <xf numFmtId="43" fontId="29" fillId="6" borderId="26" xfId="1" applyFont="1" applyFill="1" applyBorder="1" applyAlignment="1">
      <alignment vertical="center"/>
    </xf>
    <xf numFmtId="0" fontId="29" fillId="6" borderId="26" xfId="0" applyFont="1" applyFill="1" applyBorder="1" applyAlignment="1">
      <alignment horizontal="center" vertical="center"/>
    </xf>
    <xf numFmtId="43" fontId="29" fillId="6" borderId="26" xfId="1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9" fillId="6" borderId="26" xfId="1" applyNumberFormat="1" applyFont="1" applyFill="1" applyBorder="1" applyAlignment="1">
      <alignment horizontal="right" vertical="center"/>
    </xf>
    <xf numFmtId="43" fontId="29" fillId="6" borderId="26" xfId="1" applyFont="1" applyFill="1" applyBorder="1" applyAlignment="1">
      <alignment horizontal="right" vertical="center"/>
    </xf>
    <xf numFmtId="165" fontId="12" fillId="0" borderId="0" xfId="1" applyNumberFormat="1" applyFont="1" applyFill="1" applyBorder="1"/>
    <xf numFmtId="0" fontId="12" fillId="0" borderId="0" xfId="1" applyNumberFormat="1" applyFont="1" applyFill="1" applyBorder="1"/>
    <xf numFmtId="165" fontId="18" fillId="6" borderId="26" xfId="1" applyNumberFormat="1" applyFont="1" applyFill="1" applyBorder="1"/>
    <xf numFmtId="165" fontId="18" fillId="6" borderId="14" xfId="1" applyNumberFormat="1" applyFont="1" applyFill="1" applyBorder="1"/>
    <xf numFmtId="2" fontId="29" fillId="6" borderId="26" xfId="1" applyNumberFormat="1" applyFont="1" applyFill="1" applyBorder="1" applyAlignment="1">
      <alignment horizontal="right" vertical="center"/>
    </xf>
    <xf numFmtId="44" fontId="33" fillId="6" borderId="25" xfId="2" applyFont="1" applyFill="1" applyBorder="1" applyAlignment="1">
      <alignment vertical="center"/>
    </xf>
    <xf numFmtId="2" fontId="33" fillId="6" borderId="25" xfId="2" applyNumberFormat="1" applyFont="1" applyFill="1" applyBorder="1" applyAlignment="1">
      <alignment vertical="center"/>
    </xf>
    <xf numFmtId="15" fontId="24" fillId="0" borderId="0" xfId="0" applyNumberFormat="1" applyFont="1"/>
    <xf numFmtId="8" fontId="31" fillId="0" borderId="0" xfId="2" applyNumberFormat="1" applyFont="1" applyFill="1" applyAlignment="1">
      <alignment vertical="top"/>
    </xf>
    <xf numFmtId="0" fontId="31" fillId="0" borderId="2" xfId="0" applyFont="1" applyBorder="1"/>
    <xf numFmtId="0" fontId="31" fillId="0" borderId="2" xfId="0" applyFont="1" applyBorder="1" applyAlignment="1">
      <alignment vertical="top"/>
    </xf>
    <xf numFmtId="0" fontId="24" fillId="0" borderId="2" xfId="0" applyFont="1" applyBorder="1"/>
    <xf numFmtId="44" fontId="25" fillId="0" borderId="0" xfId="2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44" fontId="25" fillId="0" borderId="2" xfId="2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28" xfId="0" applyFont="1" applyBorder="1"/>
    <xf numFmtId="0" fontId="11" fillId="0" borderId="23" xfId="0" applyFont="1" applyBorder="1"/>
    <xf numFmtId="0" fontId="27" fillId="0" borderId="0" xfId="0" applyFont="1" applyAlignment="1">
      <alignment horizontal="center" wrapText="1"/>
    </xf>
    <xf numFmtId="1" fontId="27" fillId="0" borderId="0" xfId="0" applyNumberFormat="1" applyFont="1" applyAlignment="1">
      <alignment horizont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165" fontId="13" fillId="0" borderId="0" xfId="0" applyNumberFormat="1" applyFont="1"/>
    <xf numFmtId="0" fontId="34" fillId="0" borderId="2" xfId="0" applyFont="1" applyBorder="1"/>
    <xf numFmtId="0" fontId="20" fillId="6" borderId="25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right" vertical="center"/>
    </xf>
  </cellXfs>
  <cellStyles count="3">
    <cellStyle name="Komma" xfId="1" builtinId="3"/>
    <cellStyle name="Normal" xfId="0" builtinId="0"/>
    <cellStyle name="Valuta" xfId="2" builtinId="4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/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rgb="FFDCE6F1"/>
          <bgColor theme="9" tint="0.79998168889431442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>
          <fgColor indexed="64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indexed="64"/>
          <bgColor rgb="FF00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  <numFmt numFmtId="165" formatCode="#,##0.00\ &quot;kr.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strike val="0"/>
        <outline val="0"/>
        <shadow val="0"/>
        <u val="none"/>
        <vertAlign val="baseline"/>
        <name val="KBH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KBH"/>
        <scheme val="none"/>
      </font>
      <fill>
        <patternFill patternType="none">
          <fgColor indexed="64"/>
          <bgColor rgb="FF2B6D38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  <numFmt numFmtId="165" formatCode="#,##0.00\ &quot;kr.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165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KBH"/>
        <scheme val="none"/>
      </font>
      <fill>
        <patternFill patternType="none">
          <fgColor indexed="64"/>
          <bgColor rgb="FF2B6D3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wrapText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numFmt numFmtId="3" formatCode="#,##0"/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 Tekst"/>
        <scheme val="none"/>
      </font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B6D38"/>
      <color rgb="FF3F5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0B4A07-5ED0-431F-B466-4B6379AB0715}" name="Tabel5" displayName="Tabel5" ref="A1:L18" totalsRowShown="0" headerRowDxfId="111" dataDxfId="110" headerRowCellStyle="Valuta">
  <autoFilter ref="A1:L18" xr:uid="{D40B4A07-5ED0-431F-B466-4B6379AB0715}"/>
  <tableColumns count="12">
    <tableColumn id="1" xr3:uid="{2851399A-056C-4E3B-A2CF-D3BF8A1CB414}" name="Sagsnr." dataDxfId="109"/>
    <tableColumn id="2" xr3:uid="{5168A46C-9AF5-45CC-B1A8-68E14085463B}" name="Adresse" dataDxfId="108"/>
    <tableColumn id="3" xr3:uid="{13166D34-D363-49ED-8EE7-B42A8EEE8EE9}" name="Bydel" dataDxfId="107"/>
    <tableColumn id="4" xr3:uid="{618E1F13-83D4-4A44-8B40-FB25ECDE67D8}" name="Nævn" dataDxfId="106"/>
    <tableColumn id="5" xr3:uid="{7234B5E9-CAE1-4DAF-A223-A058F24B7CB5}" name="OMK pr." dataDxfId="105"/>
    <tableColumn id="6" xr3:uid="{97F13E73-8AF2-478E-AF7F-CB79CB2DA399}" name="Godkendt budgetleje u. hensættelser pr. m2" dataDxfId="104" dataCellStyle="Valuta"/>
    <tableColumn id="7" xr3:uid="{F49B9C6A-C83C-4C8E-BB3D-3E29F29C379D}" name="Godkendt budget m. udvendig vedl. pr. m2" dataDxfId="103" dataCellStyle="Valuta"/>
    <tableColumn id="8" xr3:uid="{A1F76E16-409F-4D9E-B581-EDDD5D30C0FF}" name="Ejendommens m²" dataDxfId="102"/>
    <tableColumn id="9" xr3:uid="{6867F94C-0581-4F7D-9FDC-7B9C51B51558}" name="Antal boliger" dataDxfId="101"/>
    <tableColumn id="10" xr3:uid="{478C4AC9-65FB-466E-B5D4-A0C6B864907A}" name="Opførselsår" dataDxfId="100"/>
    <tableColumn id="13" xr3:uid="{ABD871C1-6A64-446A-BD12-6458EC7587B7}" name="Bemærkninger" dataDxfId="99"/>
    <tableColumn id="14" xr3:uid="{0AF590C3-60F9-401C-99A0-983F1A5EB899}" name="Afgørelsesdato" dataDxfId="98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28055-DC5B-47BF-8032-9A78D952D679}" name="Tabel1" displayName="Tabel1" ref="A1:O102" totalsRowShown="0" headerRowDxfId="97" dataDxfId="95" headerRowBorderDxfId="96">
  <autoFilter ref="A1:O102" xr:uid="{94228055-DC5B-47BF-8032-9A78D952D679}"/>
  <sortState xmlns:xlrd2="http://schemas.microsoft.com/office/spreadsheetml/2017/richdata2" ref="A2:O102">
    <sortCondition ref="G1:G102"/>
  </sortState>
  <tableColumns count="15">
    <tableColumn id="1" xr3:uid="{3BA63884-3D65-4C8E-95C0-6F3162940EAC}" name="Sagsnr." dataDxfId="94"/>
    <tableColumn id="2" xr3:uid="{4741A3AB-F3EF-43B3-8E81-3238B3BD335B}" name="Adresse" dataDxfId="93"/>
    <tableColumn id="3" xr3:uid="{D51A4D52-2FED-488C-96F2-4EBBF4B52DBA}" name="Bydel" dataDxfId="92"/>
    <tableColumn id="4" xr3:uid="{3F56DAD3-221F-4A0C-A5A9-2838E25A7CAA}" name="Nævn" dataDxfId="91"/>
    <tableColumn id="5" xr3:uid="{7F98512E-D360-4BC1-8DCB-86285EEA7969}" name="Aftalt leje, årlig" dataDxfId="90" dataCellStyle="Valuta"/>
    <tableColumn id="6" xr3:uid="{CFC819A1-6F82-4ECD-A70F-D8CD3CDC757F}" name="Godkendt leje, årlig" dataDxfId="89" dataCellStyle="Valuta"/>
    <tableColumn id="7" xr3:uid="{EF59D8E8-3323-4B09-AA4D-25BC3ABDBCC1}" name="m²" dataDxfId="88"/>
    <tableColumn id="8" xr3:uid="{9C990527-C6A4-424C-8F9D-E507A9C4B59A}" name="Aftalt leje pr. m², årlig" dataDxfId="87" dataCellStyle="Valuta">
      <calculatedColumnFormula>SUM(E2/G2)</calculatedColumnFormula>
    </tableColumn>
    <tableColumn id="9" xr3:uid="{9C075B32-A63F-4097-B3CE-5C90986C5AF7}" name="Godkendt leje pr. m², årlig" dataDxfId="86" dataCellStyle="Valuta">
      <calculatedColumnFormula>SUM(F2/G2)</calculatedColumnFormula>
    </tableColumn>
    <tableColumn id="10" xr3:uid="{8BDFF072-64CF-493B-869B-9E494CAA13B0}" name="Lejefastsættelses-tidspunktet" dataDxfId="85"/>
    <tableColumn id="11" xr3:uid="{59BBC017-FA9E-4F52-8A18-27BACC8EC646}" name="Indvendig vedligeholdelsespligt" dataDxfId="84"/>
    <tableColumn id="12" xr3:uid="{3503BF1E-1D57-4F99-9E43-0B65B56C43BB}" name="Koldt vand-aconto" dataDxfId="83"/>
    <tableColumn id="13" xr3:uid="{5CFC72B6-A202-4444-9030-EF8A123D3D97}" name="Bemærkninger" dataDxfId="82"/>
    <tableColumn id="14" xr3:uid="{4C62D385-CCE8-4938-A76E-513A503D7169}" name="Moderniseringsår" dataDxfId="81"/>
    <tableColumn id="15" xr3:uid="{37B360B3-8779-4D0C-9A64-DDE5E0D53E4D}" name="Afgørelsesdato" dataDxfId="8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41ED20-819A-4D3D-B87C-191B78E57A72}" name="Tabel2" displayName="Tabel2" ref="A1:O36" totalsRowShown="0" headerRowDxfId="79">
  <autoFilter ref="A1:O36" xr:uid="{1741ED20-819A-4D3D-B87C-191B78E57A72}"/>
  <sortState xmlns:xlrd2="http://schemas.microsoft.com/office/spreadsheetml/2017/richdata2" ref="A2:O36">
    <sortCondition descending="1" ref="I1:I36"/>
  </sortState>
  <tableColumns count="15">
    <tableColumn id="1" xr3:uid="{5D3FDFF5-6657-47D1-AB66-F9520203FC55}" name="Sagsnr." dataDxfId="78"/>
    <tableColumn id="2" xr3:uid="{71D16601-EC92-44B7-94F5-B0DF0FD1D1DB}" name="Adresse" dataDxfId="77"/>
    <tableColumn id="3" xr3:uid="{C962A7F0-5E1B-4663-8A88-0832DD12C003}" name="Bydel" dataDxfId="76"/>
    <tableColumn id="4" xr3:uid="{63CFBA85-74CA-4DD6-BC9C-18CDBFDB81B5}" name="Nævn" dataDxfId="75"/>
    <tableColumn id="5" xr3:uid="{32242C37-F4A6-44E0-895B-D9E439031A67}" name="Aftalt leje, årlig" dataDxfId="74" dataCellStyle="Komma"/>
    <tableColumn id="6" xr3:uid="{C7ED3C18-A6C5-4FAA-B033-E926E1591EE0}" name="Godkendt leje, årlig" dataDxfId="73" dataCellStyle="Komma"/>
    <tableColumn id="7" xr3:uid="{6A76BA5D-BF06-4421-9724-39FB2C6A795A}" name="m²" dataDxfId="72" dataCellStyle="Komma"/>
    <tableColumn id="8" xr3:uid="{2074C10F-1741-4E72-BBAE-631B0F51FBE6}" name="Aftalt leje pr. m², årlig" dataDxfId="71">
      <calculatedColumnFormula>SUM(E2/G2)</calculatedColumnFormula>
    </tableColumn>
    <tableColumn id="9" xr3:uid="{A93E8ED2-8196-4955-B219-0C6ACFCF26D9}" name="Godkendt leje pr. m², årlig" dataDxfId="70">
      <calculatedColumnFormula>SUM(F2/G2)</calculatedColumnFormula>
    </tableColumn>
    <tableColumn id="10" xr3:uid="{099760D2-50BA-4584-81F0-BB02B654D29A}" name="Lejefastsættelses-tidspunkt" dataDxfId="69"/>
    <tableColumn id="11" xr3:uid="{31F365B6-FAD2-4EE0-9FA1-58072693A4CD}" name="Indvendig vedligeholdelsespligt" dataDxfId="68"/>
    <tableColumn id="12" xr3:uid="{8C668D86-2C30-4FE3-BA2D-551938319164}" name="Koldt vand aconto" dataDxfId="67"/>
    <tableColumn id="13" xr3:uid="{2EA2A622-9AF0-4AC1-B45B-427DD3A58312}" name="Bemærkninger" dataDxfId="66"/>
    <tableColumn id="14" xr3:uid="{7740E62A-8CB3-4324-ABEB-0F77E50FE15B}" name="Moderniseringsgrad" dataDxfId="65"/>
    <tableColumn id="17" xr3:uid="{6A5B4981-436D-4475-9871-6DC9B2FD94CB}" name="Afgørelsesdato" dataDxfId="64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3332EA-76DE-4E88-9D5D-D9B3C7464A8D}" name="Tabel3" displayName="Tabel3" ref="A1:O22" headerRowDxfId="63" dataDxfId="62">
  <autoFilter ref="A1:O22" xr:uid="{C93332EA-76DE-4E88-9D5D-D9B3C7464A8D}"/>
  <sortState xmlns:xlrd2="http://schemas.microsoft.com/office/spreadsheetml/2017/richdata2" ref="A2:O22">
    <sortCondition ref="C1:C22"/>
  </sortState>
  <tableColumns count="15">
    <tableColumn id="1" xr3:uid="{8CEBE2E0-1496-4883-9573-82F4C90A3A5A}" name="Sagsnr." totalsRowLabel="Total" dataDxfId="61" totalsRowDxfId="60"/>
    <tableColumn id="2" xr3:uid="{30F96B19-2967-4EBE-9DBE-90F6D63E3051}" name="Adresse" dataDxfId="59" totalsRowDxfId="58"/>
    <tableColumn id="3" xr3:uid="{1344474C-F1A0-4112-B67F-96C5B5C4A0C0}" name="Bydel" dataDxfId="57" totalsRowDxfId="56"/>
    <tableColumn id="4" xr3:uid="{3F7F59A4-EDED-4CDF-9F50-7E40DF466362}" name="Nævn" dataDxfId="55" totalsRowDxfId="54"/>
    <tableColumn id="5" xr3:uid="{DEDC4AC9-31E1-4770-9A64-DF25DBB63F3B}" name="Aftalt leje, årlig" dataDxfId="53" totalsRowDxfId="52" dataCellStyle="Komma"/>
    <tableColumn id="6" xr3:uid="{68210D89-F39F-4615-835D-DF76F482B9C1}" name="Godkendt leje, årlig" dataDxfId="51" totalsRowDxfId="50" dataCellStyle="Komma"/>
    <tableColumn id="7" xr3:uid="{D1C668C1-39A4-4AEB-BBEC-0D63D9C9AD75}" name="m²" dataDxfId="49" totalsRowDxfId="48" dataCellStyle="Komma"/>
    <tableColumn id="8" xr3:uid="{CFFEC029-B0E5-4728-A62D-9AA8031D20AA}" name="Aftalt leje pr. m², årlig" dataDxfId="47" totalsRowDxfId="46">
      <calculatedColumnFormula>SUM(E2/G2)</calculatedColumnFormula>
    </tableColumn>
    <tableColumn id="9" xr3:uid="{29A4BD11-AE96-41AA-8F78-D59435158088}" name="Godkendt leje pr. m², årlig" dataDxfId="45" totalsRowDxfId="44">
      <calculatedColumnFormula>SUM(F2/G2)</calculatedColumnFormula>
    </tableColumn>
    <tableColumn id="10" xr3:uid="{C99A9517-9E19-4D19-AA0C-3325C942A5F7}" name="Lejefastsættelses-tidspunktet" dataDxfId="43" totalsRowDxfId="42"/>
    <tableColumn id="11" xr3:uid="{3ECF9AF8-437C-4022-A990-2C096AD3F8FA}" name="Indvendig vedligeholdelsespligt" dataDxfId="41" totalsRowDxfId="40"/>
    <tableColumn id="12" xr3:uid="{0583EE06-B5B7-47BD-BE7E-DB14662AB632}" name="Koldt vand" dataDxfId="39" totalsRowDxfId="38"/>
    <tableColumn id="13" xr3:uid="{F07204FF-BE98-4AD2-9F61-B755173D4F4A}" name="Bemærkninger" dataDxfId="37" totalsRowDxfId="36"/>
    <tableColumn id="14" xr3:uid="{AA69E612-1BC8-41FD-8080-3317775FF27A}" name="Moderniseringsgrad" dataDxfId="35" totalsRowDxfId="34"/>
    <tableColumn id="17" xr3:uid="{0F8CA39C-15B6-4219-86F9-9DA95C4A00BF}" name="Afgørelsesdato" dataDxfId="33" totalsRowDxfId="3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EB3881-FBFE-4260-B0F3-F33B983D6162}" name="Tabel4" displayName="Tabel4" ref="A1:N30" totalsRowShown="0" headerRowDxfId="31" dataDxfId="30">
  <autoFilter ref="A1:N30" xr:uid="{30EB3881-FBFE-4260-B0F3-F33B983D6162}"/>
  <sortState xmlns:xlrd2="http://schemas.microsoft.com/office/spreadsheetml/2017/richdata2" ref="A2:N30">
    <sortCondition ref="C1:C30"/>
  </sortState>
  <tableColumns count="14">
    <tableColumn id="1" xr3:uid="{06C05709-506C-428D-80DB-D3A5EBD51B48}" name="Sagsnr." dataDxfId="29"/>
    <tableColumn id="2" xr3:uid="{C53ABA47-2D01-4CC1-B552-7179062E7AC9}" name="Adresse" dataDxfId="28"/>
    <tableColumn id="3" xr3:uid="{6DDAEA56-C33D-4955-AA4D-9775C9342025}" name="Bydel" dataDxfId="27"/>
    <tableColumn id="4" xr3:uid="{6339A267-99B8-475A-8714-438819C211F2}" name="Nævn" dataDxfId="26"/>
    <tableColumn id="5" xr3:uid="{392905CA-FB89-4A6F-A962-184F1F1C5F9C}" name="Aftalt leje, årlig" dataDxfId="25"/>
    <tableColumn id="6" xr3:uid="{F2DD43FB-F549-4373-867B-B3F32D3B07BB}" name="Godkendt leje, årlig" dataDxfId="24"/>
    <tableColumn id="7" xr3:uid="{BC0B681F-76B8-48F2-9FA7-8596D72A13EE}" name="m²" dataDxfId="23"/>
    <tableColumn id="8" xr3:uid="{1F1E591A-61D1-4491-87E1-28C42B46B567}" name="Aftalt leje, måned" dataDxfId="22">
      <calculatedColumnFormula>SUM(E2/12)</calculatedColumnFormula>
    </tableColumn>
    <tableColumn id="9" xr3:uid="{4BA9E4EE-DA8E-45B3-8432-CA9A9C3780E4}" name="Godkendt leje pr. måned" dataDxfId="21">
      <calculatedColumnFormula>SUM(F2/12)</calculatedColumnFormula>
    </tableColumn>
    <tableColumn id="10" xr3:uid="{328FF291-3C9A-447B-8630-A8971C30EE5C}" name="Lejefastsættelses-tidspunktet" dataDxfId="20"/>
    <tableColumn id="11" xr3:uid="{70EDC4B2-1804-4593-BD1D-E90E3A86F5B0}" name="Indvendig vedligeholdelsespligt" dataDxfId="19"/>
    <tableColumn id="12" xr3:uid="{EECC44DE-495C-4E0C-9CA5-8DEFD5E23CC7}" name="Klubværelse/ accessorisk" dataDxfId="18"/>
    <tableColumn id="13" xr3:uid="{866FA43E-2A2B-4695-973B-36E26F6A1FF1}" name="Moderniseringsgrad" dataDxfId="17"/>
    <tableColumn id="14" xr3:uid="{11886238-DF79-4DA9-9450-82CBCEABF6DF}" name="Afgørelsesdato" dataDxfId="16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517726-135C-458C-B6A8-7C3DB124424B}" name="Tabel6" displayName="Tabel6" ref="A1:N10" totalsRowShown="0" headerRowDxfId="15" dataDxfId="14">
  <autoFilter ref="A1:N10" xr:uid="{BD517726-135C-458C-B6A8-7C3DB124424B}"/>
  <sortState xmlns:xlrd2="http://schemas.microsoft.com/office/spreadsheetml/2017/richdata2" ref="A2:N10">
    <sortCondition ref="C1:C10"/>
  </sortState>
  <tableColumns count="14">
    <tableColumn id="1" xr3:uid="{58B890E5-7340-4D6C-B5F0-6D6A5D8DB8AC}" name="Sagsnr." dataDxfId="13"/>
    <tableColumn id="2" xr3:uid="{B9B012EB-6754-4CDD-A204-273ACCBAB90C}" name="Adresse" dataDxfId="12"/>
    <tableColumn id="3" xr3:uid="{6D4552F1-5776-42BB-90F8-B4FE15D440F3}" name="Bydel" dataDxfId="11"/>
    <tableColumn id="4" xr3:uid="{6B8B3479-959B-49DF-B957-DA40C6327062}" name="Nævn" dataDxfId="10"/>
    <tableColumn id="5" xr3:uid="{83146609-6F24-4A3B-9AAA-1F5AE802D33D}" name="Lejen pr." dataDxfId="9"/>
    <tableColumn id="6" xr3:uid="{EA54FED3-649D-473A-93D2-1F1682D79CBD}" name="m²" dataDxfId="8"/>
    <tableColumn id="7" xr3:uid="{4223CFF4-733F-4AC1-A83B-78AEE4B27CFB}" name="Aftalt leje pr. m², årlig" dataDxfId="7" dataCellStyle="Valuta"/>
    <tableColumn id="8" xr3:uid="{955DF6A2-2B1E-46C4-8A59-C013B7B7BC88}" name="Godkendt leje, årlig" dataDxfId="6" dataCellStyle="Valuta"/>
    <tableColumn id="9" xr3:uid="{B2BBAA18-488B-4B2E-8849-8CE9F960C93A}" name="Godkendt leje pr. m², årlig inkl. hensættelser" dataDxfId="5" dataCellStyle="Valuta"/>
    <tableColumn id="10" xr3:uid="{C0C50116-242D-49CB-BC7B-BB1EE66E94C6}" name="Indvendig vedligeholdelsespligt" dataDxfId="4"/>
    <tableColumn id="11" xr3:uid="{78D229EB-2FC1-4844-9D7B-B11CF2980B12}" name="Koldt vand-aconto" dataDxfId="3"/>
    <tableColumn id="12" xr3:uid="{C3591E95-1243-4B75-BF07-E0F0BCE75489}" name="Bemærkninger" dataDxfId="2"/>
    <tableColumn id="13" xr3:uid="{B07ED5C0-B02A-4FE9-B439-CDA7618219B3}" name="Moderniseringsår" dataDxfId="1"/>
    <tableColumn id="15" xr3:uid="{E13A96B0-C7E3-43E4-9AAC-A80B12E7D976}" name="Afgørelsesdat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77D2-BBD4-4CE8-95F2-34D442C64345}">
  <dimension ref="A1:L18"/>
  <sheetViews>
    <sheetView tabSelected="1" topLeftCell="E1" zoomScale="115" zoomScaleNormal="115" workbookViewId="0">
      <selection activeCell="K1" sqref="K1:L1048576"/>
    </sheetView>
  </sheetViews>
  <sheetFormatPr defaultRowHeight="17.25" customHeight="1" x14ac:dyDescent="0.25"/>
  <cols>
    <col min="1" max="1" width="17" customWidth="1"/>
    <col min="2" max="2" width="42" customWidth="1"/>
    <col min="3" max="3" width="15.7109375" bestFit="1" customWidth="1"/>
    <col min="4" max="4" width="14.28515625" bestFit="1" customWidth="1"/>
    <col min="5" max="5" width="18.85546875" bestFit="1" customWidth="1"/>
    <col min="6" max="6" width="28.42578125" customWidth="1"/>
    <col min="7" max="7" width="30.7109375" customWidth="1"/>
    <col min="8" max="8" width="19.28515625" customWidth="1"/>
    <col min="9" max="9" width="22.7109375" bestFit="1" customWidth="1"/>
    <col min="10" max="10" width="17.7109375" customWidth="1"/>
    <col min="11" max="11" width="29.42578125" customWidth="1"/>
    <col min="12" max="12" width="21.85546875" customWidth="1"/>
  </cols>
  <sheetData>
    <row r="1" spans="1:12" s="88" customFormat="1" ht="31.5" x14ac:dyDescent="0.25">
      <c r="A1" s="86" t="s">
        <v>0</v>
      </c>
      <c r="B1" s="86" t="s">
        <v>1</v>
      </c>
      <c r="C1" s="86" t="s">
        <v>2</v>
      </c>
      <c r="D1" s="86" t="s">
        <v>3</v>
      </c>
      <c r="E1" s="87" t="s">
        <v>4</v>
      </c>
      <c r="F1" s="163" t="s">
        <v>5</v>
      </c>
      <c r="G1" s="164" t="s">
        <v>6</v>
      </c>
      <c r="H1" s="164" t="s">
        <v>7</v>
      </c>
      <c r="I1" s="164" t="s">
        <v>8</v>
      </c>
      <c r="J1" s="86" t="s">
        <v>9</v>
      </c>
      <c r="K1" s="86" t="s">
        <v>10</v>
      </c>
      <c r="L1" s="87" t="s">
        <v>11</v>
      </c>
    </row>
    <row r="2" spans="1:12" ht="15" x14ac:dyDescent="0.25">
      <c r="A2" s="89" t="s">
        <v>12</v>
      </c>
      <c r="B2" s="89" t="s">
        <v>13</v>
      </c>
      <c r="C2" s="89" t="s">
        <v>14</v>
      </c>
      <c r="D2" s="89" t="s">
        <v>15</v>
      </c>
      <c r="E2" s="89" t="s">
        <v>16</v>
      </c>
      <c r="F2" s="90">
        <v>1031.54</v>
      </c>
      <c r="G2" s="90">
        <v>1138.54</v>
      </c>
      <c r="H2" s="92">
        <v>12918.9</v>
      </c>
      <c r="I2" s="89">
        <v>132</v>
      </c>
      <c r="J2" s="89">
        <v>1981</v>
      </c>
      <c r="K2" s="89" t="s">
        <v>17</v>
      </c>
      <c r="L2" s="111" t="s">
        <v>18</v>
      </c>
    </row>
    <row r="3" spans="1:12" ht="15" x14ac:dyDescent="0.25">
      <c r="A3" s="89" t="s">
        <v>19</v>
      </c>
      <c r="B3" s="89" t="s">
        <v>20</v>
      </c>
      <c r="C3" s="53" t="s">
        <v>21</v>
      </c>
      <c r="D3" s="89" t="s">
        <v>15</v>
      </c>
      <c r="E3" s="53" t="s">
        <v>22</v>
      </c>
      <c r="F3" s="90">
        <v>362.68</v>
      </c>
      <c r="G3" s="90">
        <v>505.68</v>
      </c>
      <c r="H3" s="91">
        <v>1040</v>
      </c>
      <c r="I3" s="89">
        <v>17</v>
      </c>
      <c r="J3" s="89">
        <v>1890</v>
      </c>
      <c r="K3" s="89"/>
      <c r="L3" s="111" t="s">
        <v>23</v>
      </c>
    </row>
    <row r="4" spans="1:12" ht="15" x14ac:dyDescent="0.25">
      <c r="A4" s="89" t="s">
        <v>24</v>
      </c>
      <c r="B4" s="89" t="s">
        <v>25</v>
      </c>
      <c r="C4" s="53" t="s">
        <v>26</v>
      </c>
      <c r="D4" s="89" t="s">
        <v>15</v>
      </c>
      <c r="E4" s="53" t="s">
        <v>27</v>
      </c>
      <c r="F4" s="90">
        <v>850</v>
      </c>
      <c r="G4" s="90" t="s">
        <v>28</v>
      </c>
      <c r="H4" s="91">
        <v>865</v>
      </c>
      <c r="I4" s="89">
        <v>10</v>
      </c>
      <c r="J4" s="89">
        <v>1988</v>
      </c>
      <c r="K4" s="89"/>
      <c r="L4" s="111" t="s">
        <v>29</v>
      </c>
    </row>
    <row r="5" spans="1:12" ht="15" x14ac:dyDescent="0.25">
      <c r="A5" s="89" t="s">
        <v>30</v>
      </c>
      <c r="B5" s="89" t="s">
        <v>31</v>
      </c>
      <c r="C5" s="53" t="s">
        <v>14</v>
      </c>
      <c r="D5" s="89" t="s">
        <v>15</v>
      </c>
      <c r="E5" s="53" t="s">
        <v>32</v>
      </c>
      <c r="F5" s="90">
        <v>305.37</v>
      </c>
      <c r="G5" s="90">
        <v>464.37</v>
      </c>
      <c r="H5" s="91">
        <v>1302</v>
      </c>
      <c r="I5" s="89">
        <v>11</v>
      </c>
      <c r="J5" s="89">
        <v>1891</v>
      </c>
      <c r="K5" s="89"/>
      <c r="L5" s="111" t="s">
        <v>33</v>
      </c>
    </row>
    <row r="6" spans="1:12" ht="15" x14ac:dyDescent="0.25">
      <c r="A6" s="161" t="s">
        <v>34</v>
      </c>
      <c r="B6" s="161" t="s">
        <v>35</v>
      </c>
      <c r="C6" s="161" t="s">
        <v>36</v>
      </c>
      <c r="D6" s="89" t="s">
        <v>15</v>
      </c>
      <c r="E6" s="53" t="s">
        <v>37</v>
      </c>
      <c r="F6" s="90">
        <v>335.95</v>
      </c>
      <c r="G6" s="90">
        <v>478.95</v>
      </c>
      <c r="H6" s="91">
        <v>867.8</v>
      </c>
      <c r="I6" s="89">
        <v>8</v>
      </c>
      <c r="J6" s="89">
        <v>1887</v>
      </c>
      <c r="K6" s="89"/>
      <c r="L6" s="111" t="s">
        <v>38</v>
      </c>
    </row>
    <row r="7" spans="1:12" ht="17.25" customHeight="1" x14ac:dyDescent="0.25">
      <c r="A7" s="161" t="s">
        <v>39</v>
      </c>
      <c r="B7" s="161" t="s">
        <v>40</v>
      </c>
      <c r="C7" s="175" t="s">
        <v>21</v>
      </c>
      <c r="D7" s="89" t="s">
        <v>15</v>
      </c>
      <c r="E7" s="53" t="s">
        <v>41</v>
      </c>
      <c r="F7" s="90">
        <v>356.16</v>
      </c>
      <c r="G7" s="90">
        <v>516.16</v>
      </c>
      <c r="H7" s="91">
        <v>1728</v>
      </c>
      <c r="I7" s="89">
        <v>22</v>
      </c>
      <c r="J7" s="89">
        <v>1890</v>
      </c>
      <c r="K7" s="89" t="s">
        <v>42</v>
      </c>
      <c r="L7" s="111" t="s">
        <v>43</v>
      </c>
    </row>
    <row r="8" spans="1:12" ht="17.25" customHeight="1" x14ac:dyDescent="0.25">
      <c r="A8" s="161" t="s">
        <v>44</v>
      </c>
      <c r="B8" s="161" t="s">
        <v>45</v>
      </c>
      <c r="C8" s="161" t="s">
        <v>36</v>
      </c>
      <c r="D8" s="89" t="s">
        <v>15</v>
      </c>
      <c r="E8" s="53" t="s">
        <v>46</v>
      </c>
      <c r="F8" s="90">
        <v>334.16</v>
      </c>
      <c r="G8" s="90">
        <v>473.16</v>
      </c>
      <c r="H8" s="91">
        <v>3237</v>
      </c>
      <c r="I8" s="89">
        <v>29</v>
      </c>
      <c r="J8" s="89">
        <v>1920</v>
      </c>
      <c r="K8" s="89"/>
      <c r="L8" s="111" t="s">
        <v>38</v>
      </c>
    </row>
    <row r="9" spans="1:12" ht="17.25" customHeight="1" x14ac:dyDescent="0.25">
      <c r="A9" s="161" t="s">
        <v>47</v>
      </c>
      <c r="B9" s="161" t="s">
        <v>48</v>
      </c>
      <c r="C9" s="162" t="s">
        <v>21</v>
      </c>
      <c r="D9" s="89" t="s">
        <v>15</v>
      </c>
      <c r="E9" s="53" t="s">
        <v>32</v>
      </c>
      <c r="F9" s="90">
        <v>330.02</v>
      </c>
      <c r="G9" s="90">
        <v>463.02</v>
      </c>
      <c r="H9" s="91">
        <v>816</v>
      </c>
      <c r="I9" s="89">
        <v>9</v>
      </c>
      <c r="J9" s="89">
        <v>1786</v>
      </c>
      <c r="K9" s="89"/>
      <c r="L9" s="111" t="s">
        <v>49</v>
      </c>
    </row>
    <row r="10" spans="1:12" ht="17.25" customHeight="1" x14ac:dyDescent="0.25">
      <c r="A10" s="161" t="s">
        <v>50</v>
      </c>
      <c r="B10" s="161" t="s">
        <v>51</v>
      </c>
      <c r="C10" s="161" t="s">
        <v>52</v>
      </c>
      <c r="D10" s="89" t="s">
        <v>15</v>
      </c>
      <c r="E10" s="53" t="s">
        <v>53</v>
      </c>
      <c r="F10" s="90">
        <v>343.94</v>
      </c>
      <c r="G10" s="90">
        <v>485.94</v>
      </c>
      <c r="H10" s="91">
        <v>1686</v>
      </c>
      <c r="I10" s="89">
        <v>11</v>
      </c>
      <c r="J10" s="89">
        <v>1879</v>
      </c>
      <c r="K10" s="89"/>
      <c r="L10" s="111" t="s">
        <v>54</v>
      </c>
    </row>
    <row r="11" spans="1:12" ht="17.25" customHeight="1" x14ac:dyDescent="0.25">
      <c r="A11" s="161" t="s">
        <v>55</v>
      </c>
      <c r="B11" s="161" t="s">
        <v>56</v>
      </c>
      <c r="C11" s="161" t="s">
        <v>57</v>
      </c>
      <c r="D11" s="89" t="s">
        <v>15</v>
      </c>
      <c r="E11" s="89" t="s">
        <v>58</v>
      </c>
      <c r="F11" s="90">
        <v>892.33</v>
      </c>
      <c r="G11" s="90">
        <v>962.87</v>
      </c>
      <c r="H11" s="91">
        <v>1647</v>
      </c>
      <c r="I11" s="89">
        <v>15</v>
      </c>
      <c r="J11" s="89">
        <v>1991</v>
      </c>
      <c r="K11" s="89"/>
      <c r="L11" s="111" t="s">
        <v>59</v>
      </c>
    </row>
    <row r="12" spans="1:12" ht="17.25" customHeight="1" x14ac:dyDescent="0.25">
      <c r="A12" s="161" t="s">
        <v>60</v>
      </c>
      <c r="B12" s="161" t="s">
        <v>61</v>
      </c>
      <c r="C12" s="161" t="s">
        <v>62</v>
      </c>
      <c r="D12" s="89" t="s">
        <v>15</v>
      </c>
      <c r="E12" s="89" t="s">
        <v>63</v>
      </c>
      <c r="F12" s="90">
        <v>224.34</v>
      </c>
      <c r="G12" s="90">
        <f>SUM(F12+80+72)</f>
        <v>376.34000000000003</v>
      </c>
      <c r="H12" s="91">
        <v>1834</v>
      </c>
      <c r="I12" s="89">
        <v>9</v>
      </c>
      <c r="J12" s="89">
        <v>1900</v>
      </c>
      <c r="K12" s="89"/>
      <c r="L12" s="111" t="s">
        <v>64</v>
      </c>
    </row>
    <row r="13" spans="1:12" ht="17.25" customHeight="1" x14ac:dyDescent="0.25">
      <c r="A13" s="161" t="s">
        <v>65</v>
      </c>
      <c r="B13" s="161" t="s">
        <v>66</v>
      </c>
      <c r="C13" s="161" t="s">
        <v>62</v>
      </c>
      <c r="D13" s="89" t="s">
        <v>15</v>
      </c>
      <c r="E13" s="53" t="s">
        <v>67</v>
      </c>
      <c r="F13" s="90">
        <v>340.9</v>
      </c>
      <c r="G13" s="90">
        <v>486.9</v>
      </c>
      <c r="H13" s="91">
        <v>1340</v>
      </c>
      <c r="I13" s="89">
        <v>6</v>
      </c>
      <c r="J13" s="89">
        <v>1881</v>
      </c>
      <c r="K13" s="89"/>
      <c r="L13" s="111" t="s">
        <v>68</v>
      </c>
    </row>
    <row r="14" spans="1:12" ht="17.25" customHeight="1" x14ac:dyDescent="0.25">
      <c r="A14" s="161" t="s">
        <v>69</v>
      </c>
      <c r="B14" s="161" t="s">
        <v>70</v>
      </c>
      <c r="C14" s="161" t="s">
        <v>62</v>
      </c>
      <c r="D14" s="89" t="s">
        <v>15</v>
      </c>
      <c r="E14" s="89" t="s">
        <v>67</v>
      </c>
      <c r="F14" s="90">
        <v>220.64</v>
      </c>
      <c r="G14" s="90">
        <f>SUM(F14+77+70)</f>
        <v>367.64</v>
      </c>
      <c r="H14" s="91">
        <v>2781</v>
      </c>
      <c r="I14" s="89">
        <v>10</v>
      </c>
      <c r="J14" s="89">
        <v>1882</v>
      </c>
      <c r="K14" s="89"/>
      <c r="L14" s="111" t="s">
        <v>71</v>
      </c>
    </row>
    <row r="15" spans="1:12" ht="17.25" customHeight="1" x14ac:dyDescent="0.25">
      <c r="A15" s="160" t="s">
        <v>72</v>
      </c>
      <c r="B15" s="161" t="s">
        <v>73</v>
      </c>
      <c r="C15" s="161" t="s">
        <v>36</v>
      </c>
      <c r="D15" s="89" t="s">
        <v>15</v>
      </c>
      <c r="E15" s="89" t="s">
        <v>63</v>
      </c>
      <c r="F15" s="90">
        <v>243.68</v>
      </c>
      <c r="G15" s="90">
        <f>SUM(F15+81+73)</f>
        <v>397.68</v>
      </c>
      <c r="H15" s="91">
        <v>4662</v>
      </c>
      <c r="I15" s="89">
        <v>19</v>
      </c>
      <c r="J15" s="89">
        <v>1906</v>
      </c>
      <c r="K15" s="89"/>
      <c r="L15" s="112" t="s">
        <v>74</v>
      </c>
    </row>
    <row r="16" spans="1:12" ht="17.25" customHeight="1" x14ac:dyDescent="0.25">
      <c r="A16" s="161" t="s">
        <v>75</v>
      </c>
      <c r="B16" s="161" t="s">
        <v>76</v>
      </c>
      <c r="C16" s="162" t="s">
        <v>14</v>
      </c>
      <c r="D16" s="89" t="s">
        <v>15</v>
      </c>
      <c r="E16" s="158" t="s">
        <v>77</v>
      </c>
      <c r="F16" s="159">
        <v>173.32</v>
      </c>
      <c r="G16" s="159">
        <v>321.32</v>
      </c>
      <c r="H16" s="91">
        <v>2546</v>
      </c>
      <c r="I16" s="89">
        <v>4</v>
      </c>
      <c r="J16" s="89">
        <v>1907</v>
      </c>
      <c r="K16" s="89" t="s">
        <v>78</v>
      </c>
      <c r="L16" s="111" t="s">
        <v>79</v>
      </c>
    </row>
    <row r="17" spans="1:12" ht="17.25" customHeight="1" x14ac:dyDescent="0.25">
      <c r="A17" s="161" t="s">
        <v>80</v>
      </c>
      <c r="B17" s="161" t="s">
        <v>81</v>
      </c>
      <c r="C17" s="162" t="s">
        <v>14</v>
      </c>
      <c r="D17" s="89" t="s">
        <v>15</v>
      </c>
      <c r="E17" s="53" t="s">
        <v>82</v>
      </c>
      <c r="F17" s="90">
        <v>346.67</v>
      </c>
      <c r="G17" s="90">
        <v>517.66999999999996</v>
      </c>
      <c r="H17" s="91">
        <v>2428</v>
      </c>
      <c r="I17" s="89">
        <v>29</v>
      </c>
      <c r="J17" s="89">
        <v>1937</v>
      </c>
      <c r="K17" s="89"/>
      <c r="L17" s="111" t="s">
        <v>33</v>
      </c>
    </row>
    <row r="18" spans="1:12" ht="17.25" customHeight="1" x14ac:dyDescent="0.25">
      <c r="A18" s="161" t="s">
        <v>83</v>
      </c>
      <c r="B18" s="161" t="s">
        <v>84</v>
      </c>
      <c r="C18" s="161" t="s">
        <v>14</v>
      </c>
      <c r="D18" s="89" t="s">
        <v>15</v>
      </c>
      <c r="E18" s="53" t="s">
        <v>85</v>
      </c>
      <c r="F18" s="90">
        <v>365.29</v>
      </c>
      <c r="G18" s="90">
        <v>594.29</v>
      </c>
      <c r="H18" s="91">
        <v>440</v>
      </c>
      <c r="I18" s="89">
        <v>8</v>
      </c>
      <c r="J18" s="89">
        <v>1898</v>
      </c>
      <c r="K18" s="89"/>
      <c r="L18" s="111" t="s">
        <v>86</v>
      </c>
    </row>
  </sheetData>
  <sheetProtection sort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99F7-EDC3-414E-A44C-94BADC514D91}">
  <sheetPr>
    <pageSetUpPr fitToPage="1"/>
  </sheetPr>
  <dimension ref="A1:Y110"/>
  <sheetViews>
    <sheetView zoomScale="115" zoomScaleNormal="115" workbookViewId="0">
      <pane ySplit="1" topLeftCell="A84" activePane="bottomLeft" state="frozen"/>
      <selection pane="bottomLeft" activeCell="H98" sqref="H98"/>
    </sheetView>
  </sheetViews>
  <sheetFormatPr defaultRowHeight="13.5" customHeight="1" x14ac:dyDescent="0.25"/>
  <cols>
    <col min="1" max="1" width="15.85546875" style="30" customWidth="1"/>
    <col min="2" max="2" width="35.28515625" style="26" customWidth="1"/>
    <col min="3" max="3" width="15.85546875" style="26" customWidth="1"/>
    <col min="4" max="4" width="12" style="26" customWidth="1"/>
    <col min="5" max="5" width="21.85546875" style="33" customWidth="1"/>
    <col min="6" max="6" width="20.28515625" style="33" customWidth="1"/>
    <col min="7" max="7" width="8.140625" style="26" customWidth="1"/>
    <col min="8" max="8" width="18.85546875" style="33" customWidth="1"/>
    <col min="9" max="9" width="19.42578125" style="34" customWidth="1"/>
    <col min="10" max="10" width="27.7109375" style="26" customWidth="1"/>
    <col min="11" max="11" width="30.28515625" style="26" customWidth="1"/>
    <col min="12" max="12" width="15.28515625" style="26" customWidth="1"/>
    <col min="13" max="13" width="19.7109375" style="26" customWidth="1"/>
    <col min="14" max="14" width="22.85546875" style="26" customWidth="1"/>
    <col min="15" max="15" width="22" style="97" customWidth="1"/>
    <col min="16" max="16384" width="9.140625" style="26"/>
  </cols>
  <sheetData>
    <row r="1" spans="1:15" s="80" customFormat="1" ht="31.5" x14ac:dyDescent="0.25">
      <c r="A1" s="78" t="s">
        <v>0</v>
      </c>
      <c r="B1" s="78" t="s">
        <v>1</v>
      </c>
      <c r="C1" s="78" t="s">
        <v>2</v>
      </c>
      <c r="D1" s="78" t="s">
        <v>3</v>
      </c>
      <c r="E1" s="79" t="s">
        <v>87</v>
      </c>
      <c r="F1" s="166" t="s">
        <v>88</v>
      </c>
      <c r="G1" s="165" t="s">
        <v>89</v>
      </c>
      <c r="H1" s="166" t="s">
        <v>90</v>
      </c>
      <c r="I1" s="166" t="s">
        <v>91</v>
      </c>
      <c r="J1" s="165" t="s">
        <v>92</v>
      </c>
      <c r="K1" s="165" t="s">
        <v>93</v>
      </c>
      <c r="L1" s="165" t="s">
        <v>94</v>
      </c>
      <c r="M1" s="78" t="s">
        <v>10</v>
      </c>
      <c r="N1" s="78" t="s">
        <v>95</v>
      </c>
      <c r="O1" s="96" t="s">
        <v>11</v>
      </c>
    </row>
    <row r="2" spans="1:15" ht="14.25" x14ac:dyDescent="0.25">
      <c r="A2" s="113" t="s">
        <v>96</v>
      </c>
      <c r="B2" s="114" t="s">
        <v>97</v>
      </c>
      <c r="C2" s="114" t="s">
        <v>98</v>
      </c>
      <c r="D2" s="28" t="s">
        <v>15</v>
      </c>
      <c r="E2" s="115">
        <v>65725.5</v>
      </c>
      <c r="F2" s="115">
        <v>55900</v>
      </c>
      <c r="G2" s="28">
        <v>43</v>
      </c>
      <c r="H2" s="32">
        <f t="shared" ref="H2:H33" si="0">SUM(E2/G2)</f>
        <v>1528.5</v>
      </c>
      <c r="I2" s="54">
        <f t="shared" ref="I2:I33" si="1">SUM(F2/G2)</f>
        <v>1300</v>
      </c>
      <c r="J2" s="28" t="s">
        <v>99</v>
      </c>
      <c r="K2" s="28" t="s">
        <v>100</v>
      </c>
      <c r="L2" s="28" t="s">
        <v>101</v>
      </c>
      <c r="M2" s="28"/>
      <c r="N2" s="27">
        <v>2010</v>
      </c>
      <c r="O2" s="116" t="s">
        <v>102</v>
      </c>
    </row>
    <row r="3" spans="1:15" ht="14.25" x14ac:dyDescent="0.25">
      <c r="A3" s="27" t="s">
        <v>103</v>
      </c>
      <c r="B3" s="28" t="s">
        <v>70</v>
      </c>
      <c r="C3" s="28" t="s">
        <v>21</v>
      </c>
      <c r="D3" s="28" t="s">
        <v>15</v>
      </c>
      <c r="E3" s="32">
        <v>120000</v>
      </c>
      <c r="F3" s="32">
        <v>104000</v>
      </c>
      <c r="G3" s="28">
        <v>80</v>
      </c>
      <c r="H3" s="32">
        <f t="shared" si="0"/>
        <v>1500</v>
      </c>
      <c r="I3" s="54">
        <f t="shared" si="1"/>
        <v>1300</v>
      </c>
      <c r="J3" s="28" t="s">
        <v>104</v>
      </c>
      <c r="K3" s="28" t="s">
        <v>105</v>
      </c>
      <c r="L3" s="28" t="s">
        <v>101</v>
      </c>
      <c r="M3" s="28"/>
      <c r="N3" s="45" t="s">
        <v>106</v>
      </c>
      <c r="O3" s="97" t="s">
        <v>107</v>
      </c>
    </row>
    <row r="4" spans="1:15" ht="14.25" x14ac:dyDescent="0.25">
      <c r="A4" s="27" t="s">
        <v>108</v>
      </c>
      <c r="B4" s="28" t="s">
        <v>109</v>
      </c>
      <c r="C4" s="28" t="s">
        <v>21</v>
      </c>
      <c r="D4" s="28" t="s">
        <v>15</v>
      </c>
      <c r="E4" s="31">
        <v>192000</v>
      </c>
      <c r="F4" s="31">
        <v>133500</v>
      </c>
      <c r="G4" s="28">
        <v>89</v>
      </c>
      <c r="H4" s="31">
        <f t="shared" si="0"/>
        <v>2157.303370786517</v>
      </c>
      <c r="I4" s="117">
        <f t="shared" si="1"/>
        <v>1500</v>
      </c>
      <c r="J4" s="28" t="s">
        <v>41</v>
      </c>
      <c r="K4" s="28" t="s">
        <v>105</v>
      </c>
      <c r="L4" s="28" t="s">
        <v>110</v>
      </c>
      <c r="M4" s="28" t="s">
        <v>111</v>
      </c>
      <c r="N4" s="27">
        <v>2016</v>
      </c>
      <c r="O4" s="97" t="s">
        <v>112</v>
      </c>
    </row>
    <row r="5" spans="1:15" ht="14.25" x14ac:dyDescent="0.25">
      <c r="A5" s="27" t="s">
        <v>113</v>
      </c>
      <c r="B5" s="28" t="s">
        <v>114</v>
      </c>
      <c r="C5" s="28" t="s">
        <v>21</v>
      </c>
      <c r="D5" s="28" t="s">
        <v>15</v>
      </c>
      <c r="E5" s="31">
        <v>112732.69</v>
      </c>
      <c r="F5" s="31">
        <v>64500</v>
      </c>
      <c r="G5" s="28">
        <v>44</v>
      </c>
      <c r="H5" s="31">
        <f t="shared" si="0"/>
        <v>2562.1065909090908</v>
      </c>
      <c r="I5" s="117">
        <f t="shared" si="1"/>
        <v>1465.909090909091</v>
      </c>
      <c r="J5" s="28" t="s">
        <v>104</v>
      </c>
      <c r="K5" s="28" t="s">
        <v>105</v>
      </c>
      <c r="L5" s="28" t="s">
        <v>101</v>
      </c>
      <c r="M5" s="28"/>
      <c r="N5" s="27">
        <v>2005</v>
      </c>
      <c r="O5" s="97" t="s">
        <v>115</v>
      </c>
    </row>
    <row r="6" spans="1:15" ht="14.25" x14ac:dyDescent="0.25">
      <c r="A6" s="27" t="s">
        <v>116</v>
      </c>
      <c r="B6" s="28" t="s">
        <v>117</v>
      </c>
      <c r="C6" s="28" t="s">
        <v>21</v>
      </c>
      <c r="D6" s="28" t="s">
        <v>15</v>
      </c>
      <c r="E6" s="31">
        <v>68400</v>
      </c>
      <c r="F6" s="31">
        <v>58500</v>
      </c>
      <c r="G6" s="28">
        <v>39</v>
      </c>
      <c r="H6" s="31">
        <f t="shared" si="0"/>
        <v>1753.8461538461538</v>
      </c>
      <c r="I6" s="117">
        <f t="shared" si="1"/>
        <v>1500</v>
      </c>
      <c r="J6" s="28" t="s">
        <v>118</v>
      </c>
      <c r="K6" s="28" t="s">
        <v>100</v>
      </c>
      <c r="L6" s="28" t="s">
        <v>101</v>
      </c>
      <c r="M6" s="28"/>
      <c r="N6" s="27">
        <v>2019</v>
      </c>
      <c r="O6" s="97" t="s">
        <v>119</v>
      </c>
    </row>
    <row r="7" spans="1:15" ht="14.25" x14ac:dyDescent="0.25">
      <c r="A7" s="27" t="s">
        <v>120</v>
      </c>
      <c r="B7" s="28" t="s">
        <v>121</v>
      </c>
      <c r="C7" s="28" t="s">
        <v>21</v>
      </c>
      <c r="D7" s="28" t="s">
        <v>15</v>
      </c>
      <c r="E7" s="31">
        <v>169116</v>
      </c>
      <c r="F7" s="31">
        <v>117800</v>
      </c>
      <c r="G7" s="28">
        <v>76</v>
      </c>
      <c r="H7" s="31">
        <f t="shared" si="0"/>
        <v>2225.2105263157896</v>
      </c>
      <c r="I7" s="117">
        <f t="shared" si="1"/>
        <v>1550</v>
      </c>
      <c r="J7" s="28" t="s">
        <v>122</v>
      </c>
      <c r="K7" s="28" t="s">
        <v>105</v>
      </c>
      <c r="L7" s="28" t="s">
        <v>110</v>
      </c>
      <c r="M7" s="28" t="s">
        <v>111</v>
      </c>
      <c r="N7" s="27">
        <v>2011</v>
      </c>
      <c r="O7" s="97" t="s">
        <v>123</v>
      </c>
    </row>
    <row r="8" spans="1:15" ht="14.25" x14ac:dyDescent="0.25">
      <c r="A8" s="27" t="s">
        <v>124</v>
      </c>
      <c r="B8" s="28" t="s">
        <v>125</v>
      </c>
      <c r="C8" s="28" t="s">
        <v>21</v>
      </c>
      <c r="D8" s="28" t="s">
        <v>15</v>
      </c>
      <c r="E8" s="31">
        <v>102663.24</v>
      </c>
      <c r="F8" s="31">
        <v>92925</v>
      </c>
      <c r="G8" s="28">
        <v>59</v>
      </c>
      <c r="H8" s="31">
        <f t="shared" si="0"/>
        <v>1740.0549152542374</v>
      </c>
      <c r="I8" s="117">
        <f t="shared" si="1"/>
        <v>1575</v>
      </c>
      <c r="J8" s="28" t="s">
        <v>126</v>
      </c>
      <c r="K8" s="28" t="s">
        <v>100</v>
      </c>
      <c r="L8" s="28" t="s">
        <v>101</v>
      </c>
      <c r="M8" s="28"/>
      <c r="N8" s="44">
        <v>2005</v>
      </c>
      <c r="O8" s="97" t="s">
        <v>127</v>
      </c>
    </row>
    <row r="9" spans="1:15" ht="28.5" x14ac:dyDescent="0.25">
      <c r="A9" s="27" t="s">
        <v>128</v>
      </c>
      <c r="B9" s="28" t="s">
        <v>129</v>
      </c>
      <c r="C9" s="28" t="s">
        <v>21</v>
      </c>
      <c r="D9" s="28" t="s">
        <v>15</v>
      </c>
      <c r="E9" s="31">
        <v>309452.37</v>
      </c>
      <c r="F9" s="31">
        <v>279300</v>
      </c>
      <c r="G9" s="28">
        <v>196</v>
      </c>
      <c r="H9" s="31">
        <f t="shared" si="0"/>
        <v>1578.8386224489795</v>
      </c>
      <c r="I9" s="117">
        <f t="shared" si="1"/>
        <v>1425</v>
      </c>
      <c r="J9" s="28" t="s">
        <v>104</v>
      </c>
      <c r="K9" s="28" t="s">
        <v>105</v>
      </c>
      <c r="L9" s="28" t="s">
        <v>101</v>
      </c>
      <c r="M9" s="28"/>
      <c r="N9" s="27">
        <v>2010</v>
      </c>
      <c r="O9" s="97" t="s">
        <v>130</v>
      </c>
    </row>
    <row r="10" spans="1:15" ht="14.25" x14ac:dyDescent="0.25">
      <c r="A10" s="113" t="s">
        <v>131</v>
      </c>
      <c r="B10" s="113" t="s">
        <v>132</v>
      </c>
      <c r="C10" s="113" t="s">
        <v>21</v>
      </c>
      <c r="D10" s="28" t="s">
        <v>15</v>
      </c>
      <c r="E10" s="31">
        <v>206100</v>
      </c>
      <c r="F10" s="31">
        <v>164800</v>
      </c>
      <c r="G10" s="28">
        <v>103</v>
      </c>
      <c r="H10" s="32">
        <f t="shared" si="0"/>
        <v>2000.9708737864078</v>
      </c>
      <c r="I10" s="54">
        <f t="shared" si="1"/>
        <v>1600</v>
      </c>
      <c r="J10" s="28" t="s">
        <v>133</v>
      </c>
      <c r="K10" s="28" t="s">
        <v>105</v>
      </c>
      <c r="L10" s="28" t="s">
        <v>101</v>
      </c>
      <c r="M10" s="28"/>
      <c r="N10" s="27">
        <v>2018</v>
      </c>
      <c r="O10" s="116" t="s">
        <v>134</v>
      </c>
    </row>
    <row r="11" spans="1:15" ht="57" x14ac:dyDescent="0.25">
      <c r="A11" s="113" t="s">
        <v>135</v>
      </c>
      <c r="B11" s="113" t="s">
        <v>136</v>
      </c>
      <c r="C11" s="113" t="s">
        <v>21</v>
      </c>
      <c r="D11" s="28" t="s">
        <v>15</v>
      </c>
      <c r="E11" s="31">
        <v>108226.68</v>
      </c>
      <c r="F11" s="31">
        <v>103950</v>
      </c>
      <c r="G11" s="28">
        <v>63</v>
      </c>
      <c r="H11" s="32">
        <f t="shared" si="0"/>
        <v>1717.8838095238093</v>
      </c>
      <c r="I11" s="54">
        <f t="shared" si="1"/>
        <v>1650</v>
      </c>
      <c r="J11" s="28" t="s">
        <v>137</v>
      </c>
      <c r="K11" s="28" t="s">
        <v>100</v>
      </c>
      <c r="L11" s="28" t="s">
        <v>101</v>
      </c>
      <c r="M11" s="28"/>
      <c r="N11" s="27">
        <v>2020</v>
      </c>
      <c r="O11" s="116" t="s">
        <v>138</v>
      </c>
    </row>
    <row r="12" spans="1:15" ht="28.5" x14ac:dyDescent="0.25">
      <c r="A12" s="113" t="s">
        <v>139</v>
      </c>
      <c r="B12" s="113" t="s">
        <v>140</v>
      </c>
      <c r="C12" s="113" t="s">
        <v>21</v>
      </c>
      <c r="D12" s="28" t="s">
        <v>15</v>
      </c>
      <c r="E12" s="31">
        <v>193368.64</v>
      </c>
      <c r="F12" s="31">
        <v>188100</v>
      </c>
      <c r="G12" s="28">
        <v>114</v>
      </c>
      <c r="H12" s="32">
        <f t="shared" si="0"/>
        <v>1696.2161403508774</v>
      </c>
      <c r="I12" s="54">
        <f t="shared" si="1"/>
        <v>1650</v>
      </c>
      <c r="J12" s="28" t="s">
        <v>141</v>
      </c>
      <c r="K12" s="28" t="s">
        <v>100</v>
      </c>
      <c r="L12" s="28" t="s">
        <v>101</v>
      </c>
      <c r="M12" s="28"/>
      <c r="N12" s="27">
        <v>2013</v>
      </c>
      <c r="O12" s="116" t="s">
        <v>138</v>
      </c>
    </row>
    <row r="13" spans="1:15" ht="28.5" x14ac:dyDescent="0.25">
      <c r="A13" s="113" t="s">
        <v>142</v>
      </c>
      <c r="B13" s="113" t="s">
        <v>140</v>
      </c>
      <c r="C13" s="113" t="s">
        <v>21</v>
      </c>
      <c r="D13" s="28" t="s">
        <v>15</v>
      </c>
      <c r="E13" s="31">
        <v>184841.7</v>
      </c>
      <c r="F13" s="31">
        <v>178200</v>
      </c>
      <c r="G13" s="28">
        <v>108</v>
      </c>
      <c r="H13" s="32">
        <f t="shared" si="0"/>
        <v>1711.4972222222223</v>
      </c>
      <c r="I13" s="54">
        <f t="shared" si="1"/>
        <v>1650</v>
      </c>
      <c r="J13" s="28" t="s">
        <v>143</v>
      </c>
      <c r="K13" s="28" t="s">
        <v>100</v>
      </c>
      <c r="L13" s="28" t="s">
        <v>101</v>
      </c>
      <c r="M13" s="28"/>
      <c r="N13" s="27">
        <v>2016</v>
      </c>
      <c r="O13" s="116" t="s">
        <v>138</v>
      </c>
    </row>
    <row r="14" spans="1:15" ht="28.5" x14ac:dyDescent="0.25">
      <c r="A14" s="113" t="s">
        <v>144</v>
      </c>
      <c r="B14" s="113" t="s">
        <v>145</v>
      </c>
      <c r="C14" s="113" t="s">
        <v>21</v>
      </c>
      <c r="D14" s="28" t="s">
        <v>15</v>
      </c>
      <c r="E14" s="31">
        <v>97470</v>
      </c>
      <c r="F14" s="31">
        <v>94050</v>
      </c>
      <c r="G14" s="28">
        <v>57</v>
      </c>
      <c r="H14" s="32">
        <f t="shared" si="0"/>
        <v>1710</v>
      </c>
      <c r="I14" s="54">
        <f t="shared" si="1"/>
        <v>1650</v>
      </c>
      <c r="J14" s="28" t="s">
        <v>146</v>
      </c>
      <c r="K14" s="28" t="s">
        <v>100</v>
      </c>
      <c r="L14" s="28" t="s">
        <v>101</v>
      </c>
      <c r="M14" s="28"/>
      <c r="N14" s="27">
        <v>2014</v>
      </c>
      <c r="O14" s="116" t="s">
        <v>138</v>
      </c>
    </row>
    <row r="15" spans="1:15" ht="42.75" x14ac:dyDescent="0.25">
      <c r="A15" s="121" t="s">
        <v>147</v>
      </c>
      <c r="B15" s="113" t="s">
        <v>140</v>
      </c>
      <c r="C15" s="113" t="s">
        <v>21</v>
      </c>
      <c r="D15" s="28" t="s">
        <v>15</v>
      </c>
      <c r="E15" s="31">
        <v>107725</v>
      </c>
      <c r="F15" s="31">
        <v>102300</v>
      </c>
      <c r="G15" s="28">
        <v>62</v>
      </c>
      <c r="H15" s="32">
        <f t="shared" si="0"/>
        <v>1737.5</v>
      </c>
      <c r="I15" s="54">
        <f t="shared" si="1"/>
        <v>1650</v>
      </c>
      <c r="J15" s="28" t="s">
        <v>148</v>
      </c>
      <c r="K15" s="28" t="s">
        <v>100</v>
      </c>
      <c r="L15" s="28" t="s">
        <v>101</v>
      </c>
      <c r="M15" s="28"/>
      <c r="N15" s="27">
        <v>2019</v>
      </c>
      <c r="O15" s="116" t="s">
        <v>138</v>
      </c>
    </row>
    <row r="16" spans="1:15" ht="42.75" x14ac:dyDescent="0.25">
      <c r="A16" s="113" t="s">
        <v>149</v>
      </c>
      <c r="B16" s="113" t="s">
        <v>140</v>
      </c>
      <c r="C16" s="113" t="s">
        <v>21</v>
      </c>
      <c r="D16" s="28" t="s">
        <v>15</v>
      </c>
      <c r="E16" s="31">
        <v>160884.73000000001</v>
      </c>
      <c r="F16" s="31">
        <v>155100</v>
      </c>
      <c r="G16" s="28">
        <v>94</v>
      </c>
      <c r="H16" s="32">
        <f t="shared" si="0"/>
        <v>1711.5396808510638</v>
      </c>
      <c r="I16" s="54">
        <f t="shared" si="1"/>
        <v>1650</v>
      </c>
      <c r="J16" s="28" t="s">
        <v>150</v>
      </c>
      <c r="K16" s="28" t="s">
        <v>100</v>
      </c>
      <c r="L16" s="28" t="s">
        <v>101</v>
      </c>
      <c r="M16" s="28"/>
      <c r="N16" s="27">
        <v>2017</v>
      </c>
      <c r="O16" s="116" t="s">
        <v>138</v>
      </c>
    </row>
    <row r="17" spans="1:15" ht="14.25" x14ac:dyDescent="0.25">
      <c r="A17" s="113" t="s">
        <v>151</v>
      </c>
      <c r="B17" s="113" t="s">
        <v>140</v>
      </c>
      <c r="C17" s="113" t="s">
        <v>21</v>
      </c>
      <c r="D17" s="28" t="s">
        <v>15</v>
      </c>
      <c r="E17" s="31">
        <v>161787.73000000001</v>
      </c>
      <c r="F17" s="31">
        <v>161787.73000000001</v>
      </c>
      <c r="G17" s="28">
        <v>94</v>
      </c>
      <c r="H17" s="32">
        <f t="shared" si="0"/>
        <v>1721.1460638297874</v>
      </c>
      <c r="I17" s="54">
        <f t="shared" si="1"/>
        <v>1721.1460638297874</v>
      </c>
      <c r="J17" s="28" t="s">
        <v>152</v>
      </c>
      <c r="K17" s="28" t="s">
        <v>100</v>
      </c>
      <c r="L17" s="28" t="s">
        <v>101</v>
      </c>
      <c r="M17" s="28"/>
      <c r="N17" s="27">
        <v>2007</v>
      </c>
      <c r="O17" s="116" t="s">
        <v>138</v>
      </c>
    </row>
    <row r="18" spans="1:15" ht="14.25" x14ac:dyDescent="0.25">
      <c r="A18" s="113" t="s">
        <v>153</v>
      </c>
      <c r="B18" s="113" t="s">
        <v>140</v>
      </c>
      <c r="C18" s="113" t="s">
        <v>21</v>
      </c>
      <c r="D18" s="28" t="s">
        <v>15</v>
      </c>
      <c r="E18" s="31">
        <v>153045</v>
      </c>
      <c r="F18" s="31">
        <v>153045</v>
      </c>
      <c r="G18" s="28">
        <v>90</v>
      </c>
      <c r="H18" s="32">
        <f t="shared" si="0"/>
        <v>1700.5</v>
      </c>
      <c r="I18" s="54">
        <f t="shared" si="1"/>
        <v>1700.5</v>
      </c>
      <c r="J18" s="28" t="s">
        <v>154</v>
      </c>
      <c r="K18" s="28" t="s">
        <v>100</v>
      </c>
      <c r="L18" s="28" t="s">
        <v>101</v>
      </c>
      <c r="M18" s="28"/>
      <c r="N18" s="27">
        <v>2014</v>
      </c>
      <c r="O18" s="116" t="s">
        <v>138</v>
      </c>
    </row>
    <row r="19" spans="1:15" ht="14.25" x14ac:dyDescent="0.25">
      <c r="A19" s="113" t="s">
        <v>155</v>
      </c>
      <c r="B19" s="113" t="s">
        <v>136</v>
      </c>
      <c r="C19" s="113" t="s">
        <v>21</v>
      </c>
      <c r="D19" s="28" t="s">
        <v>15</v>
      </c>
      <c r="E19" s="31">
        <v>107206.45</v>
      </c>
      <c r="F19" s="118">
        <v>107206.45</v>
      </c>
      <c r="G19" s="28">
        <v>63</v>
      </c>
      <c r="H19" s="32">
        <f t="shared" si="0"/>
        <v>1701.6896825396825</v>
      </c>
      <c r="I19" s="54">
        <f t="shared" si="1"/>
        <v>1701.6896825396825</v>
      </c>
      <c r="J19" s="28" t="s">
        <v>152</v>
      </c>
      <c r="K19" s="28" t="s">
        <v>100</v>
      </c>
      <c r="L19" s="28" t="s">
        <v>101</v>
      </c>
      <c r="M19" s="28"/>
      <c r="N19" s="27">
        <v>2013</v>
      </c>
      <c r="O19" s="116" t="s">
        <v>138</v>
      </c>
    </row>
    <row r="20" spans="1:15" ht="14.25" x14ac:dyDescent="0.25">
      <c r="A20" s="113" t="s">
        <v>156</v>
      </c>
      <c r="B20" s="113" t="s">
        <v>140</v>
      </c>
      <c r="C20" s="113" t="s">
        <v>21</v>
      </c>
      <c r="D20" s="28" t="s">
        <v>15</v>
      </c>
      <c r="E20" s="31">
        <v>174694.39</v>
      </c>
      <c r="F20" s="31">
        <v>174694.39</v>
      </c>
      <c r="G20" s="28">
        <v>106</v>
      </c>
      <c r="H20" s="32">
        <f t="shared" si="0"/>
        <v>1648.0602830188679</v>
      </c>
      <c r="I20" s="54">
        <f t="shared" si="1"/>
        <v>1648.0602830188679</v>
      </c>
      <c r="J20" s="28" t="s">
        <v>152</v>
      </c>
      <c r="K20" s="28" t="s">
        <v>100</v>
      </c>
      <c r="L20" s="28" t="s">
        <v>101</v>
      </c>
      <c r="M20" s="28"/>
      <c r="N20" s="27">
        <v>2016</v>
      </c>
      <c r="O20" s="116" t="s">
        <v>138</v>
      </c>
    </row>
    <row r="21" spans="1:15" ht="14.25" x14ac:dyDescent="0.25">
      <c r="A21" s="113" t="s">
        <v>157</v>
      </c>
      <c r="B21" s="113" t="s">
        <v>140</v>
      </c>
      <c r="C21" s="113" t="s">
        <v>21</v>
      </c>
      <c r="D21" s="28" t="s">
        <v>15</v>
      </c>
      <c r="E21" s="31">
        <v>127007.4</v>
      </c>
      <c r="F21" s="31">
        <v>127007.4</v>
      </c>
      <c r="G21" s="28">
        <v>83</v>
      </c>
      <c r="H21" s="32">
        <f t="shared" si="0"/>
        <v>1530.2096385542168</v>
      </c>
      <c r="I21" s="54">
        <f t="shared" si="1"/>
        <v>1530.2096385542168</v>
      </c>
      <c r="J21" s="28" t="s">
        <v>152</v>
      </c>
      <c r="K21" s="28" t="s">
        <v>100</v>
      </c>
      <c r="L21" s="28" t="s">
        <v>101</v>
      </c>
      <c r="M21" s="28"/>
      <c r="N21" s="27">
        <v>2014</v>
      </c>
      <c r="O21" s="116" t="s">
        <v>138</v>
      </c>
    </row>
    <row r="22" spans="1:15" ht="14.25" x14ac:dyDescent="0.25">
      <c r="A22" s="113" t="s">
        <v>158</v>
      </c>
      <c r="B22" s="113" t="s">
        <v>140</v>
      </c>
      <c r="C22" s="113" t="s">
        <v>21</v>
      </c>
      <c r="D22" s="28" t="s">
        <v>15</v>
      </c>
      <c r="E22" s="31">
        <v>133217.51999999999</v>
      </c>
      <c r="F22" s="31">
        <v>133217.51999999999</v>
      </c>
      <c r="G22" s="28">
        <v>80</v>
      </c>
      <c r="H22" s="32">
        <f t="shared" si="0"/>
        <v>1665.2189999999998</v>
      </c>
      <c r="I22" s="54">
        <f t="shared" si="1"/>
        <v>1665.2189999999998</v>
      </c>
      <c r="J22" s="28" t="s">
        <v>152</v>
      </c>
      <c r="K22" s="28" t="s">
        <v>100</v>
      </c>
      <c r="L22" s="28" t="s">
        <v>101</v>
      </c>
      <c r="M22" s="28"/>
      <c r="N22" s="27">
        <v>2015</v>
      </c>
      <c r="O22" s="116" t="s">
        <v>138</v>
      </c>
    </row>
    <row r="23" spans="1:15" ht="14.25" x14ac:dyDescent="0.25">
      <c r="A23" s="113" t="s">
        <v>159</v>
      </c>
      <c r="B23" s="113" t="s">
        <v>140</v>
      </c>
      <c r="C23" s="113" t="s">
        <v>21</v>
      </c>
      <c r="D23" s="28" t="s">
        <v>15</v>
      </c>
      <c r="E23" s="31">
        <v>194630.97</v>
      </c>
      <c r="F23" s="31">
        <v>194630.97</v>
      </c>
      <c r="G23" s="28">
        <v>114</v>
      </c>
      <c r="H23" s="32">
        <f t="shared" si="0"/>
        <v>1707.2892105263159</v>
      </c>
      <c r="I23" s="54">
        <f t="shared" si="1"/>
        <v>1707.2892105263159</v>
      </c>
      <c r="J23" s="28" t="s">
        <v>152</v>
      </c>
      <c r="K23" s="28" t="s">
        <v>100</v>
      </c>
      <c r="L23" s="28" t="s">
        <v>101</v>
      </c>
      <c r="M23" s="28"/>
      <c r="N23" s="27">
        <v>2007</v>
      </c>
      <c r="O23" s="116" t="s">
        <v>138</v>
      </c>
    </row>
    <row r="24" spans="1:15" ht="14.25" x14ac:dyDescent="0.25">
      <c r="A24" s="113" t="s">
        <v>160</v>
      </c>
      <c r="B24" s="113" t="s">
        <v>140</v>
      </c>
      <c r="C24" s="113" t="s">
        <v>21</v>
      </c>
      <c r="D24" s="28" t="s">
        <v>15</v>
      </c>
      <c r="E24" s="31">
        <v>140886.06</v>
      </c>
      <c r="F24" s="31">
        <v>140886.06</v>
      </c>
      <c r="G24" s="28">
        <v>83</v>
      </c>
      <c r="H24" s="32">
        <f t="shared" si="0"/>
        <v>1697.4224096385542</v>
      </c>
      <c r="I24" s="54">
        <f t="shared" si="1"/>
        <v>1697.4224096385542</v>
      </c>
      <c r="J24" s="28" t="s">
        <v>161</v>
      </c>
      <c r="K24" s="28" t="s">
        <v>100</v>
      </c>
      <c r="L24" s="28" t="s">
        <v>101</v>
      </c>
      <c r="M24" s="28"/>
      <c r="N24" s="27">
        <v>2016</v>
      </c>
      <c r="O24" s="116" t="s">
        <v>138</v>
      </c>
    </row>
    <row r="25" spans="1:15" ht="14.25" x14ac:dyDescent="0.25">
      <c r="A25" s="113" t="s">
        <v>162</v>
      </c>
      <c r="B25" s="113" t="s">
        <v>140</v>
      </c>
      <c r="C25" s="113" t="s">
        <v>21</v>
      </c>
      <c r="D25" s="28" t="s">
        <v>15</v>
      </c>
      <c r="E25" s="31">
        <v>138195</v>
      </c>
      <c r="F25" s="31">
        <v>138195</v>
      </c>
      <c r="G25" s="28">
        <v>83</v>
      </c>
      <c r="H25" s="32">
        <f t="shared" si="0"/>
        <v>1665</v>
      </c>
      <c r="I25" s="54">
        <f t="shared" si="1"/>
        <v>1665</v>
      </c>
      <c r="J25" s="28" t="s">
        <v>163</v>
      </c>
      <c r="K25" s="28" t="s">
        <v>100</v>
      </c>
      <c r="L25" s="28" t="s">
        <v>101</v>
      </c>
      <c r="M25" s="28"/>
      <c r="N25" s="27">
        <v>2007</v>
      </c>
      <c r="O25" s="116" t="s">
        <v>138</v>
      </c>
    </row>
    <row r="26" spans="1:15" ht="14.25" x14ac:dyDescent="0.25">
      <c r="A26" s="113" t="s">
        <v>164</v>
      </c>
      <c r="B26" s="113" t="s">
        <v>140</v>
      </c>
      <c r="C26" s="113" t="s">
        <v>21</v>
      </c>
      <c r="D26" s="28" t="s">
        <v>15</v>
      </c>
      <c r="E26" s="31">
        <v>123098.04</v>
      </c>
      <c r="F26" s="31">
        <v>123098.04</v>
      </c>
      <c r="G26" s="28">
        <v>83</v>
      </c>
      <c r="H26" s="32">
        <f t="shared" si="0"/>
        <v>1483.1089156626506</v>
      </c>
      <c r="I26" s="54">
        <f t="shared" si="1"/>
        <v>1483.1089156626506</v>
      </c>
      <c r="J26" s="28" t="s">
        <v>165</v>
      </c>
      <c r="K26" s="28" t="s">
        <v>100</v>
      </c>
      <c r="L26" s="28" t="s">
        <v>101</v>
      </c>
      <c r="M26" s="28"/>
      <c r="N26" s="27">
        <v>2014</v>
      </c>
      <c r="O26" s="116" t="s">
        <v>138</v>
      </c>
    </row>
    <row r="27" spans="1:15" ht="14.25" x14ac:dyDescent="0.25">
      <c r="A27" s="113" t="s">
        <v>166</v>
      </c>
      <c r="B27" s="113" t="s">
        <v>167</v>
      </c>
      <c r="C27" s="113" t="s">
        <v>21</v>
      </c>
      <c r="D27" s="28" t="s">
        <v>15</v>
      </c>
      <c r="E27" s="31">
        <v>120900</v>
      </c>
      <c r="F27" s="31">
        <v>120900</v>
      </c>
      <c r="G27" s="28">
        <v>78</v>
      </c>
      <c r="H27" s="32">
        <f t="shared" si="0"/>
        <v>1550</v>
      </c>
      <c r="I27" s="54">
        <f t="shared" si="1"/>
        <v>1550</v>
      </c>
      <c r="J27" s="28" t="s">
        <v>168</v>
      </c>
      <c r="K27" s="28" t="s">
        <v>100</v>
      </c>
      <c r="L27" s="28" t="s">
        <v>101</v>
      </c>
      <c r="M27" s="28"/>
      <c r="N27" s="27">
        <v>2019</v>
      </c>
      <c r="O27" s="116" t="s">
        <v>169</v>
      </c>
    </row>
    <row r="28" spans="1:15" ht="14.25" x14ac:dyDescent="0.25">
      <c r="A28" s="113" t="s">
        <v>170</v>
      </c>
      <c r="B28" s="113" t="s">
        <v>171</v>
      </c>
      <c r="C28" s="113" t="s">
        <v>21</v>
      </c>
      <c r="D28" s="28" t="s">
        <v>15</v>
      </c>
      <c r="E28" s="31">
        <v>138000</v>
      </c>
      <c r="F28" s="31">
        <v>83700</v>
      </c>
      <c r="G28" s="28">
        <v>54</v>
      </c>
      <c r="H28" s="32">
        <f t="shared" si="0"/>
        <v>2555.5555555555557</v>
      </c>
      <c r="I28" s="54">
        <f t="shared" si="1"/>
        <v>1550</v>
      </c>
      <c r="J28" s="28" t="s">
        <v>172</v>
      </c>
      <c r="K28" s="28" t="s">
        <v>100</v>
      </c>
      <c r="L28" s="28" t="s">
        <v>101</v>
      </c>
      <c r="M28" s="28"/>
      <c r="N28" s="27">
        <v>2020</v>
      </c>
      <c r="O28" s="116" t="s">
        <v>173</v>
      </c>
    </row>
    <row r="29" spans="1:15" ht="14.25" x14ac:dyDescent="0.25">
      <c r="A29" s="27" t="s">
        <v>174</v>
      </c>
      <c r="B29" s="28" t="s">
        <v>136</v>
      </c>
      <c r="C29" s="28" t="s">
        <v>62</v>
      </c>
      <c r="D29" s="28" t="s">
        <v>15</v>
      </c>
      <c r="E29" s="31">
        <v>176166.31</v>
      </c>
      <c r="F29" s="31">
        <v>176166.31</v>
      </c>
      <c r="G29" s="28">
        <v>105</v>
      </c>
      <c r="H29" s="31">
        <f t="shared" si="0"/>
        <v>1677.7743809523809</v>
      </c>
      <c r="I29" s="117">
        <f t="shared" si="1"/>
        <v>1677.7743809523809</v>
      </c>
      <c r="J29" s="28" t="s">
        <v>99</v>
      </c>
      <c r="K29" s="28" t="s">
        <v>100</v>
      </c>
      <c r="L29" s="28" t="s">
        <v>101</v>
      </c>
      <c r="M29" s="28"/>
      <c r="N29" s="27">
        <v>2013</v>
      </c>
      <c r="O29" s="97" t="s">
        <v>175</v>
      </c>
    </row>
    <row r="30" spans="1:15" ht="14.25" x14ac:dyDescent="0.25">
      <c r="A30" s="27" t="s">
        <v>176</v>
      </c>
      <c r="B30" s="28" t="s">
        <v>136</v>
      </c>
      <c r="C30" s="28" t="s">
        <v>62</v>
      </c>
      <c r="D30" s="28" t="s">
        <v>15</v>
      </c>
      <c r="E30" s="31">
        <v>107730</v>
      </c>
      <c r="F30" s="31">
        <v>107730</v>
      </c>
      <c r="G30" s="28">
        <v>63</v>
      </c>
      <c r="H30" s="31">
        <f t="shared" si="0"/>
        <v>1710</v>
      </c>
      <c r="I30" s="117">
        <f t="shared" si="1"/>
        <v>1710</v>
      </c>
      <c r="J30" s="28" t="s">
        <v>177</v>
      </c>
      <c r="K30" s="28" t="s">
        <v>100</v>
      </c>
      <c r="L30" s="28" t="s">
        <v>101</v>
      </c>
      <c r="M30" s="28"/>
      <c r="N30" s="27">
        <v>2008</v>
      </c>
      <c r="O30" s="97" t="s">
        <v>175</v>
      </c>
    </row>
    <row r="31" spans="1:15" ht="14.25" x14ac:dyDescent="0.25">
      <c r="A31" s="27" t="s">
        <v>178</v>
      </c>
      <c r="B31" s="28" t="s">
        <v>136</v>
      </c>
      <c r="C31" s="28" t="s">
        <v>62</v>
      </c>
      <c r="D31" s="28" t="s">
        <v>15</v>
      </c>
      <c r="E31" s="31">
        <v>138764.04</v>
      </c>
      <c r="F31" s="31">
        <v>138764.04</v>
      </c>
      <c r="G31" s="28">
        <v>82</v>
      </c>
      <c r="H31" s="31">
        <f t="shared" si="0"/>
        <v>1692.2443902439024</v>
      </c>
      <c r="I31" s="117">
        <f t="shared" si="1"/>
        <v>1692.2443902439024</v>
      </c>
      <c r="J31" s="28" t="s">
        <v>179</v>
      </c>
      <c r="K31" s="28" t="s">
        <v>100</v>
      </c>
      <c r="L31" s="28" t="s">
        <v>101</v>
      </c>
      <c r="M31" s="28"/>
      <c r="N31" s="27">
        <v>2013</v>
      </c>
      <c r="O31" s="97" t="s">
        <v>180</v>
      </c>
    </row>
    <row r="32" spans="1:15" ht="14.25" x14ac:dyDescent="0.25">
      <c r="A32" s="27" t="s">
        <v>181</v>
      </c>
      <c r="B32" s="28" t="s">
        <v>182</v>
      </c>
      <c r="C32" s="28" t="s">
        <v>183</v>
      </c>
      <c r="D32" s="28" t="s">
        <v>15</v>
      </c>
      <c r="E32" s="31">
        <v>85800</v>
      </c>
      <c r="F32" s="31">
        <v>73500</v>
      </c>
      <c r="G32" s="28">
        <v>49</v>
      </c>
      <c r="H32" s="31">
        <f t="shared" si="0"/>
        <v>1751.0204081632653</v>
      </c>
      <c r="I32" s="117">
        <f t="shared" si="1"/>
        <v>1500</v>
      </c>
      <c r="J32" s="28" t="s">
        <v>184</v>
      </c>
      <c r="K32" s="28" t="s">
        <v>105</v>
      </c>
      <c r="L32" s="28" t="s">
        <v>101</v>
      </c>
      <c r="M32" s="28"/>
      <c r="N32" s="27">
        <v>2015</v>
      </c>
      <c r="O32" s="97" t="s">
        <v>123</v>
      </c>
    </row>
    <row r="33" spans="1:15" ht="14.25" x14ac:dyDescent="0.25">
      <c r="A33" s="27" t="s">
        <v>185</v>
      </c>
      <c r="B33" s="28" t="s">
        <v>186</v>
      </c>
      <c r="C33" s="28" t="s">
        <v>183</v>
      </c>
      <c r="D33" s="28" t="s">
        <v>15</v>
      </c>
      <c r="E33" s="31">
        <v>126000</v>
      </c>
      <c r="F33" s="31">
        <v>126000</v>
      </c>
      <c r="G33" s="28">
        <v>70</v>
      </c>
      <c r="H33" s="31">
        <f t="shared" si="0"/>
        <v>1800</v>
      </c>
      <c r="I33" s="117">
        <f t="shared" si="1"/>
        <v>1800</v>
      </c>
      <c r="J33" s="28" t="s">
        <v>187</v>
      </c>
      <c r="K33" s="28" t="s">
        <v>105</v>
      </c>
      <c r="L33" s="28" t="s">
        <v>110</v>
      </c>
      <c r="M33" s="28" t="s">
        <v>188</v>
      </c>
      <c r="N33" s="27">
        <v>2015</v>
      </c>
      <c r="O33" s="97" t="s">
        <v>189</v>
      </c>
    </row>
    <row r="34" spans="1:15" ht="14.25" x14ac:dyDescent="0.25">
      <c r="A34" s="27" t="s">
        <v>190</v>
      </c>
      <c r="B34" s="28" t="s">
        <v>191</v>
      </c>
      <c r="C34" s="28" t="s">
        <v>183</v>
      </c>
      <c r="D34" s="28" t="s">
        <v>15</v>
      </c>
      <c r="E34" s="31">
        <v>219000</v>
      </c>
      <c r="F34" s="31">
        <v>187500</v>
      </c>
      <c r="G34" s="28">
        <v>125</v>
      </c>
      <c r="H34" s="31">
        <f t="shared" ref="H34:H65" si="2">SUM(E34/G34)</f>
        <v>1752</v>
      </c>
      <c r="I34" s="117">
        <f t="shared" ref="I34:I65" si="3">SUM(F34/G34)</f>
        <v>1500</v>
      </c>
      <c r="J34" s="28" t="s">
        <v>63</v>
      </c>
      <c r="K34" s="28" t="s">
        <v>105</v>
      </c>
      <c r="L34" s="28" t="s">
        <v>101</v>
      </c>
      <c r="M34" s="28"/>
      <c r="N34" s="27">
        <v>2018</v>
      </c>
      <c r="O34" s="97" t="s">
        <v>192</v>
      </c>
    </row>
    <row r="35" spans="1:15" ht="28.5" x14ac:dyDescent="0.25">
      <c r="A35" s="27" t="s">
        <v>193</v>
      </c>
      <c r="B35" s="28" t="s">
        <v>191</v>
      </c>
      <c r="C35" s="28" t="s">
        <v>183</v>
      </c>
      <c r="D35" s="28" t="s">
        <v>15</v>
      </c>
      <c r="E35" s="31">
        <v>148800</v>
      </c>
      <c r="F35" s="31">
        <v>134400</v>
      </c>
      <c r="G35" s="28">
        <v>84</v>
      </c>
      <c r="H35" s="31">
        <f t="shared" si="2"/>
        <v>1771.4285714285713</v>
      </c>
      <c r="I35" s="117">
        <f t="shared" si="3"/>
        <v>1600</v>
      </c>
      <c r="J35" s="28" t="s">
        <v>194</v>
      </c>
      <c r="K35" s="28" t="s">
        <v>105</v>
      </c>
      <c r="L35" s="28" t="s">
        <v>101</v>
      </c>
      <c r="M35" s="28"/>
      <c r="N35" s="27">
        <v>2019</v>
      </c>
      <c r="O35" s="97" t="s">
        <v>195</v>
      </c>
    </row>
    <row r="36" spans="1:15" ht="14.25" x14ac:dyDescent="0.25">
      <c r="A36" s="27" t="s">
        <v>196</v>
      </c>
      <c r="B36" s="28" t="s">
        <v>197</v>
      </c>
      <c r="C36" s="28" t="s">
        <v>183</v>
      </c>
      <c r="D36" s="28" t="s">
        <v>15</v>
      </c>
      <c r="E36" s="31">
        <v>113400</v>
      </c>
      <c r="F36" s="31">
        <v>67650</v>
      </c>
      <c r="G36" s="28">
        <v>41</v>
      </c>
      <c r="H36" s="31">
        <f t="shared" si="2"/>
        <v>2765.8536585365855</v>
      </c>
      <c r="I36" s="117">
        <f t="shared" si="3"/>
        <v>1650</v>
      </c>
      <c r="J36" s="28" t="s">
        <v>198</v>
      </c>
      <c r="K36" s="28" t="s">
        <v>105</v>
      </c>
      <c r="L36" s="28" t="s">
        <v>101</v>
      </c>
      <c r="M36" s="28"/>
      <c r="N36" s="27">
        <v>2019</v>
      </c>
      <c r="O36" s="97" t="s">
        <v>199</v>
      </c>
    </row>
    <row r="37" spans="1:15" ht="14.25" x14ac:dyDescent="0.25">
      <c r="A37" s="27" t="s">
        <v>200</v>
      </c>
      <c r="B37" s="28" t="s">
        <v>201</v>
      </c>
      <c r="C37" s="28" t="s">
        <v>183</v>
      </c>
      <c r="D37" s="28" t="s">
        <v>15</v>
      </c>
      <c r="E37" s="31">
        <v>126000</v>
      </c>
      <c r="F37" s="31">
        <v>111825</v>
      </c>
      <c r="G37" s="28">
        <v>71</v>
      </c>
      <c r="H37" s="31">
        <f t="shared" si="2"/>
        <v>1774.6478873239437</v>
      </c>
      <c r="I37" s="117">
        <f t="shared" si="3"/>
        <v>1575</v>
      </c>
      <c r="J37" s="28" t="s">
        <v>202</v>
      </c>
      <c r="K37" s="28" t="s">
        <v>105</v>
      </c>
      <c r="L37" s="28" t="s">
        <v>110</v>
      </c>
      <c r="M37" s="28" t="s">
        <v>111</v>
      </c>
      <c r="N37" s="27">
        <v>2012</v>
      </c>
      <c r="O37" s="97" t="s">
        <v>203</v>
      </c>
    </row>
    <row r="38" spans="1:15" ht="28.5" x14ac:dyDescent="0.25">
      <c r="A38" s="27" t="s">
        <v>204</v>
      </c>
      <c r="B38" s="28" t="s">
        <v>205</v>
      </c>
      <c r="C38" s="28" t="s">
        <v>183</v>
      </c>
      <c r="D38" s="28" t="s">
        <v>15</v>
      </c>
      <c r="E38" s="31">
        <v>152044.26999999999</v>
      </c>
      <c r="F38" s="31">
        <v>133875</v>
      </c>
      <c r="G38" s="28">
        <v>85</v>
      </c>
      <c r="H38" s="31">
        <f t="shared" si="2"/>
        <v>1788.7561176470588</v>
      </c>
      <c r="I38" s="117">
        <f t="shared" si="3"/>
        <v>1575</v>
      </c>
      <c r="J38" s="28" t="s">
        <v>16</v>
      </c>
      <c r="K38" s="28" t="s">
        <v>105</v>
      </c>
      <c r="L38" s="28" t="s">
        <v>110</v>
      </c>
      <c r="M38" s="28" t="s">
        <v>206</v>
      </c>
      <c r="N38" s="27">
        <v>2012</v>
      </c>
      <c r="O38" s="97" t="s">
        <v>203</v>
      </c>
    </row>
    <row r="39" spans="1:15" ht="14.25" x14ac:dyDescent="0.25">
      <c r="A39" s="27" t="s">
        <v>207</v>
      </c>
      <c r="B39" s="28" t="s">
        <v>205</v>
      </c>
      <c r="C39" s="28" t="s">
        <v>183</v>
      </c>
      <c r="D39" s="28" t="s">
        <v>15</v>
      </c>
      <c r="E39" s="31">
        <v>148750.03</v>
      </c>
      <c r="F39" s="31">
        <v>133875</v>
      </c>
      <c r="G39" s="28">
        <v>85</v>
      </c>
      <c r="H39" s="31">
        <f t="shared" si="2"/>
        <v>1750.0003529411765</v>
      </c>
      <c r="I39" s="117">
        <f t="shared" si="3"/>
        <v>1575</v>
      </c>
      <c r="J39" s="28" t="s">
        <v>208</v>
      </c>
      <c r="K39" s="28" t="s">
        <v>105</v>
      </c>
      <c r="L39" s="28" t="s">
        <v>110</v>
      </c>
      <c r="M39" s="35" t="s">
        <v>206</v>
      </c>
      <c r="N39" s="27">
        <v>2012</v>
      </c>
      <c r="O39" s="97" t="s">
        <v>203</v>
      </c>
    </row>
    <row r="40" spans="1:15" ht="14.25" x14ac:dyDescent="0.25">
      <c r="A40" s="27" t="s">
        <v>209</v>
      </c>
      <c r="B40" s="28" t="s">
        <v>205</v>
      </c>
      <c r="C40" s="28" t="s">
        <v>183</v>
      </c>
      <c r="D40" s="28" t="s">
        <v>15</v>
      </c>
      <c r="E40" s="31">
        <v>130883.52</v>
      </c>
      <c r="F40" s="31">
        <v>111825</v>
      </c>
      <c r="G40" s="28">
        <v>71</v>
      </c>
      <c r="H40" s="31">
        <f t="shared" si="2"/>
        <v>1843.4298591549295</v>
      </c>
      <c r="I40" s="117">
        <f t="shared" si="3"/>
        <v>1575</v>
      </c>
      <c r="J40" s="28" t="s">
        <v>210</v>
      </c>
      <c r="K40" s="28" t="s">
        <v>105</v>
      </c>
      <c r="L40" s="28" t="s">
        <v>101</v>
      </c>
      <c r="M40" s="28"/>
      <c r="N40" s="27">
        <v>2009</v>
      </c>
      <c r="O40" s="97" t="s">
        <v>203</v>
      </c>
    </row>
    <row r="41" spans="1:15" ht="28.5" x14ac:dyDescent="0.25">
      <c r="A41" s="27" t="s">
        <v>211</v>
      </c>
      <c r="B41" s="28" t="s">
        <v>212</v>
      </c>
      <c r="C41" s="28" t="s">
        <v>183</v>
      </c>
      <c r="D41" s="28" t="s">
        <v>15</v>
      </c>
      <c r="E41" s="31">
        <v>183600</v>
      </c>
      <c r="F41" s="31">
        <v>133500</v>
      </c>
      <c r="G41" s="28">
        <v>89</v>
      </c>
      <c r="H41" s="31">
        <f t="shared" si="2"/>
        <v>2062.9213483146068</v>
      </c>
      <c r="I41" s="117">
        <f t="shared" si="3"/>
        <v>1500</v>
      </c>
      <c r="J41" s="28" t="s">
        <v>63</v>
      </c>
      <c r="K41" s="28" t="s">
        <v>105</v>
      </c>
      <c r="L41" s="28" t="s">
        <v>110</v>
      </c>
      <c r="M41" s="28" t="s">
        <v>206</v>
      </c>
      <c r="N41" s="27">
        <v>2018</v>
      </c>
      <c r="O41" s="97" t="s">
        <v>213</v>
      </c>
    </row>
    <row r="42" spans="1:15" ht="14.25" x14ac:dyDescent="0.25">
      <c r="A42" s="27" t="s">
        <v>214</v>
      </c>
      <c r="B42" s="28" t="s">
        <v>215</v>
      </c>
      <c r="C42" s="28" t="s">
        <v>183</v>
      </c>
      <c r="D42" s="28" t="s">
        <v>15</v>
      </c>
      <c r="E42" s="31">
        <v>123806</v>
      </c>
      <c r="F42" s="31">
        <v>103200</v>
      </c>
      <c r="G42" s="28">
        <v>86</v>
      </c>
      <c r="H42" s="31">
        <f t="shared" si="2"/>
        <v>1439.6046511627908</v>
      </c>
      <c r="I42" s="117">
        <f t="shared" si="3"/>
        <v>1200</v>
      </c>
      <c r="J42" s="28" t="s">
        <v>216</v>
      </c>
      <c r="K42" s="28" t="s">
        <v>105</v>
      </c>
      <c r="L42" s="28" t="s">
        <v>110</v>
      </c>
      <c r="M42" s="28" t="s">
        <v>111</v>
      </c>
      <c r="N42" s="27">
        <v>2009</v>
      </c>
      <c r="O42" s="97" t="s">
        <v>127</v>
      </c>
    </row>
    <row r="43" spans="1:15" ht="28.5" x14ac:dyDescent="0.25">
      <c r="A43" s="27" t="s">
        <v>217</v>
      </c>
      <c r="B43" s="28" t="s">
        <v>218</v>
      </c>
      <c r="C43" s="28" t="s">
        <v>183</v>
      </c>
      <c r="D43" s="28" t="s">
        <v>15</v>
      </c>
      <c r="E43" s="31">
        <v>207000</v>
      </c>
      <c r="F43" s="31">
        <v>175500</v>
      </c>
      <c r="G43" s="28">
        <v>117</v>
      </c>
      <c r="H43" s="31">
        <f t="shared" si="2"/>
        <v>1769.2307692307693</v>
      </c>
      <c r="I43" s="117">
        <f t="shared" si="3"/>
        <v>1500</v>
      </c>
      <c r="J43" s="28" t="s">
        <v>219</v>
      </c>
      <c r="K43" s="28" t="s">
        <v>105</v>
      </c>
      <c r="L43" s="28" t="s">
        <v>101</v>
      </c>
      <c r="M43" s="28"/>
      <c r="N43" s="27">
        <v>2019</v>
      </c>
      <c r="O43" s="97" t="s">
        <v>220</v>
      </c>
    </row>
    <row r="44" spans="1:15" ht="28.5" x14ac:dyDescent="0.25">
      <c r="A44" s="113" t="s">
        <v>221</v>
      </c>
      <c r="B44" s="114" t="s">
        <v>222</v>
      </c>
      <c r="C44" s="114" t="s">
        <v>183</v>
      </c>
      <c r="D44" s="28" t="s">
        <v>15</v>
      </c>
      <c r="E44" s="115">
        <v>86400</v>
      </c>
      <c r="F44" s="115">
        <v>68150</v>
      </c>
      <c r="G44" s="28">
        <v>47</v>
      </c>
      <c r="H44" s="32">
        <f t="shared" si="2"/>
        <v>1838.2978723404256</v>
      </c>
      <c r="I44" s="54">
        <f t="shared" si="3"/>
        <v>1450</v>
      </c>
      <c r="J44" s="28" t="s">
        <v>223</v>
      </c>
      <c r="K44" s="28" t="s">
        <v>105</v>
      </c>
      <c r="L44" s="28" t="s">
        <v>101</v>
      </c>
      <c r="M44" s="28"/>
      <c r="N44" s="27">
        <v>2003</v>
      </c>
      <c r="O44" s="116" t="s">
        <v>224</v>
      </c>
    </row>
    <row r="45" spans="1:15" ht="28.5" x14ac:dyDescent="0.25">
      <c r="A45" s="113" t="s">
        <v>225</v>
      </c>
      <c r="B45" s="114" t="s">
        <v>222</v>
      </c>
      <c r="C45" s="114" t="s">
        <v>183</v>
      </c>
      <c r="D45" s="28" t="s">
        <v>15</v>
      </c>
      <c r="E45" s="115">
        <v>99044.58</v>
      </c>
      <c r="F45" s="115">
        <v>78300</v>
      </c>
      <c r="G45" s="28">
        <v>54</v>
      </c>
      <c r="H45" s="32">
        <f t="shared" si="2"/>
        <v>1834.1588888888889</v>
      </c>
      <c r="I45" s="54">
        <f t="shared" si="3"/>
        <v>1450</v>
      </c>
      <c r="J45" s="28" t="s">
        <v>226</v>
      </c>
      <c r="K45" s="28" t="s">
        <v>105</v>
      </c>
      <c r="L45" s="28" t="s">
        <v>110</v>
      </c>
      <c r="M45" s="28" t="s">
        <v>206</v>
      </c>
      <c r="N45" s="27">
        <v>2018</v>
      </c>
      <c r="O45" s="116" t="s">
        <v>224</v>
      </c>
    </row>
    <row r="46" spans="1:15" ht="28.5" x14ac:dyDescent="0.25">
      <c r="A46" s="113" t="s">
        <v>227</v>
      </c>
      <c r="B46" s="114" t="s">
        <v>222</v>
      </c>
      <c r="C46" s="114" t="s">
        <v>183</v>
      </c>
      <c r="D46" s="28" t="s">
        <v>15</v>
      </c>
      <c r="E46" s="115">
        <v>144000</v>
      </c>
      <c r="F46" s="115">
        <v>113100</v>
      </c>
      <c r="G46" s="28">
        <v>78</v>
      </c>
      <c r="H46" s="32">
        <f t="shared" si="2"/>
        <v>1846.1538461538462</v>
      </c>
      <c r="I46" s="54">
        <f t="shared" si="3"/>
        <v>1450</v>
      </c>
      <c r="J46" s="28" t="s">
        <v>228</v>
      </c>
      <c r="K46" s="28" t="s">
        <v>105</v>
      </c>
      <c r="L46" s="28" t="s">
        <v>110</v>
      </c>
      <c r="M46" s="28" t="s">
        <v>111</v>
      </c>
      <c r="N46" s="27">
        <v>2018</v>
      </c>
      <c r="O46" s="116" t="s">
        <v>224</v>
      </c>
    </row>
    <row r="47" spans="1:15" ht="28.5" x14ac:dyDescent="0.25">
      <c r="A47" s="113" t="s">
        <v>229</v>
      </c>
      <c r="B47" s="114" t="s">
        <v>230</v>
      </c>
      <c r="C47" s="114" t="s">
        <v>183</v>
      </c>
      <c r="D47" s="28" t="s">
        <v>15</v>
      </c>
      <c r="E47" s="31">
        <v>86400</v>
      </c>
      <c r="F47" s="31">
        <v>66700</v>
      </c>
      <c r="G47" s="28">
        <v>46</v>
      </c>
      <c r="H47" s="31">
        <f t="shared" si="2"/>
        <v>1878.2608695652175</v>
      </c>
      <c r="I47" s="54">
        <f t="shared" si="3"/>
        <v>1450</v>
      </c>
      <c r="J47" s="28" t="s">
        <v>231</v>
      </c>
      <c r="K47" s="28" t="s">
        <v>105</v>
      </c>
      <c r="L47" s="28" t="s">
        <v>110</v>
      </c>
      <c r="M47" s="28" t="s">
        <v>111</v>
      </c>
      <c r="N47" s="27">
        <v>2018</v>
      </c>
      <c r="O47" s="116" t="s">
        <v>224</v>
      </c>
    </row>
    <row r="48" spans="1:15" ht="14.25" x14ac:dyDescent="0.25">
      <c r="A48" s="113" t="s">
        <v>232</v>
      </c>
      <c r="B48" s="113" t="s">
        <v>233</v>
      </c>
      <c r="C48" s="113" t="s">
        <v>234</v>
      </c>
      <c r="D48" s="28" t="s">
        <v>15</v>
      </c>
      <c r="E48" s="31">
        <v>100200</v>
      </c>
      <c r="F48" s="31">
        <v>85500</v>
      </c>
      <c r="G48" s="28">
        <v>57</v>
      </c>
      <c r="H48" s="32">
        <f t="shared" si="2"/>
        <v>1757.8947368421052</v>
      </c>
      <c r="I48" s="54">
        <f t="shared" si="3"/>
        <v>1500</v>
      </c>
      <c r="J48" s="28" t="s">
        <v>202</v>
      </c>
      <c r="K48" s="28" t="s">
        <v>105</v>
      </c>
      <c r="L48" s="28" t="s">
        <v>101</v>
      </c>
      <c r="M48" s="28"/>
      <c r="N48" s="27">
        <v>2011</v>
      </c>
      <c r="O48" s="116" t="s">
        <v>102</v>
      </c>
    </row>
    <row r="49" spans="1:15" ht="14.25" x14ac:dyDescent="0.25">
      <c r="A49" s="27" t="s">
        <v>235</v>
      </c>
      <c r="B49" s="28" t="s">
        <v>236</v>
      </c>
      <c r="C49" s="28" t="s">
        <v>237</v>
      </c>
      <c r="D49" s="28" t="s">
        <v>15</v>
      </c>
      <c r="E49" s="31">
        <v>57645.36</v>
      </c>
      <c r="F49" s="31">
        <v>35200</v>
      </c>
      <c r="G49" s="28">
        <v>44</v>
      </c>
      <c r="H49" s="31">
        <f t="shared" si="2"/>
        <v>1310.1218181818183</v>
      </c>
      <c r="I49" s="117">
        <f t="shared" si="3"/>
        <v>800</v>
      </c>
      <c r="J49" s="28" t="s">
        <v>99</v>
      </c>
      <c r="K49" s="28" t="s">
        <v>105</v>
      </c>
      <c r="L49" s="28" t="s">
        <v>101</v>
      </c>
      <c r="M49" s="28"/>
      <c r="N49" s="45" t="s">
        <v>238</v>
      </c>
      <c r="O49" s="97" t="s">
        <v>130</v>
      </c>
    </row>
    <row r="50" spans="1:15" ht="14.25" x14ac:dyDescent="0.25">
      <c r="A50" s="27" t="s">
        <v>239</v>
      </c>
      <c r="B50" s="28" t="s">
        <v>240</v>
      </c>
      <c r="C50" s="28" t="s">
        <v>237</v>
      </c>
      <c r="D50" s="28" t="s">
        <v>15</v>
      </c>
      <c r="E50" s="31">
        <v>144813.35999999999</v>
      </c>
      <c r="F50" s="31">
        <v>144813.35999999999</v>
      </c>
      <c r="G50" s="28">
        <v>93</v>
      </c>
      <c r="H50" s="31">
        <f t="shared" si="2"/>
        <v>1557.1329032258063</v>
      </c>
      <c r="I50" s="117">
        <f t="shared" si="3"/>
        <v>1557.1329032258063</v>
      </c>
      <c r="J50" s="28" t="s">
        <v>241</v>
      </c>
      <c r="K50" s="28" t="s">
        <v>242</v>
      </c>
      <c r="L50" s="28" t="s">
        <v>110</v>
      </c>
      <c r="M50" s="29" t="s">
        <v>243</v>
      </c>
      <c r="N50" s="27">
        <v>2019</v>
      </c>
      <c r="O50" s="97" t="s">
        <v>119</v>
      </c>
    </row>
    <row r="51" spans="1:15" ht="14.25" x14ac:dyDescent="0.25">
      <c r="A51" s="27" t="s">
        <v>244</v>
      </c>
      <c r="B51" s="28" t="s">
        <v>245</v>
      </c>
      <c r="C51" s="28" t="s">
        <v>246</v>
      </c>
      <c r="D51" s="28" t="s">
        <v>15</v>
      </c>
      <c r="E51" s="32">
        <v>87600</v>
      </c>
      <c r="F51" s="32">
        <v>72500</v>
      </c>
      <c r="G51" s="28">
        <v>50</v>
      </c>
      <c r="H51" s="31">
        <f t="shared" si="2"/>
        <v>1752</v>
      </c>
      <c r="I51" s="117">
        <f t="shared" si="3"/>
        <v>1450</v>
      </c>
      <c r="J51" s="28" t="s">
        <v>247</v>
      </c>
      <c r="K51" s="28" t="s">
        <v>105</v>
      </c>
      <c r="L51" s="28" t="s">
        <v>101</v>
      </c>
      <c r="M51" s="28"/>
      <c r="N51" s="27">
        <v>2019</v>
      </c>
      <c r="O51" s="97" t="s">
        <v>248</v>
      </c>
    </row>
    <row r="52" spans="1:15" ht="14.25" x14ac:dyDescent="0.25">
      <c r="A52" s="27" t="s">
        <v>249</v>
      </c>
      <c r="B52" s="28" t="s">
        <v>250</v>
      </c>
      <c r="C52" s="28" t="s">
        <v>246</v>
      </c>
      <c r="D52" s="28" t="s">
        <v>15</v>
      </c>
      <c r="E52" s="31">
        <v>138669.60999999999</v>
      </c>
      <c r="F52" s="31">
        <v>111600</v>
      </c>
      <c r="G52" s="28">
        <v>72</v>
      </c>
      <c r="H52" s="31">
        <f t="shared" si="2"/>
        <v>1925.9668055555553</v>
      </c>
      <c r="I52" s="117">
        <f t="shared" si="3"/>
        <v>1550</v>
      </c>
      <c r="J52" s="28" t="s">
        <v>251</v>
      </c>
      <c r="K52" s="28" t="s">
        <v>105</v>
      </c>
      <c r="L52" s="28" t="s">
        <v>101</v>
      </c>
      <c r="M52" s="28"/>
      <c r="N52" s="27">
        <v>2018</v>
      </c>
      <c r="O52" s="97" t="s">
        <v>203</v>
      </c>
    </row>
    <row r="53" spans="1:15" ht="14.25" x14ac:dyDescent="0.25">
      <c r="A53" s="27" t="s">
        <v>252</v>
      </c>
      <c r="B53" s="28" t="s">
        <v>253</v>
      </c>
      <c r="C53" s="28" t="s">
        <v>246</v>
      </c>
      <c r="D53" s="28" t="s">
        <v>15</v>
      </c>
      <c r="E53" s="31">
        <v>103850.01</v>
      </c>
      <c r="F53" s="31">
        <v>95200</v>
      </c>
      <c r="G53" s="28">
        <v>68</v>
      </c>
      <c r="H53" s="31">
        <f t="shared" si="2"/>
        <v>1527.2060294117646</v>
      </c>
      <c r="I53" s="117">
        <f t="shared" si="3"/>
        <v>1400</v>
      </c>
      <c r="J53" s="28" t="s">
        <v>168</v>
      </c>
      <c r="K53" s="28" t="s">
        <v>100</v>
      </c>
      <c r="L53" s="28" t="s">
        <v>101</v>
      </c>
      <c r="M53" s="28"/>
      <c r="N53" s="27">
        <v>2005</v>
      </c>
      <c r="O53" s="97" t="s">
        <v>254</v>
      </c>
    </row>
    <row r="54" spans="1:15" ht="14.25" x14ac:dyDescent="0.25">
      <c r="A54" s="27" t="s">
        <v>255</v>
      </c>
      <c r="B54" s="28" t="s">
        <v>256</v>
      </c>
      <c r="C54" s="28" t="s">
        <v>246</v>
      </c>
      <c r="D54" s="28" t="s">
        <v>15</v>
      </c>
      <c r="E54" s="31">
        <v>84429.8</v>
      </c>
      <c r="F54" s="31">
        <v>74100</v>
      </c>
      <c r="G54" s="28">
        <v>52</v>
      </c>
      <c r="H54" s="31">
        <f t="shared" si="2"/>
        <v>1623.65</v>
      </c>
      <c r="I54" s="117">
        <f t="shared" si="3"/>
        <v>1425</v>
      </c>
      <c r="J54" s="28" t="s">
        <v>104</v>
      </c>
      <c r="K54" s="28" t="s">
        <v>100</v>
      </c>
      <c r="L54" s="28" t="s">
        <v>101</v>
      </c>
      <c r="M54" s="28"/>
      <c r="N54" s="27">
        <v>2018</v>
      </c>
      <c r="O54" s="97" t="s">
        <v>257</v>
      </c>
    </row>
    <row r="55" spans="1:15" ht="14.25" x14ac:dyDescent="0.25">
      <c r="A55" s="27" t="s">
        <v>258</v>
      </c>
      <c r="B55" s="28" t="s">
        <v>259</v>
      </c>
      <c r="C55" s="28" t="s">
        <v>246</v>
      </c>
      <c r="D55" s="28" t="s">
        <v>15</v>
      </c>
      <c r="E55" s="31">
        <v>113148</v>
      </c>
      <c r="F55" s="31">
        <v>102300</v>
      </c>
      <c r="G55" s="28">
        <v>68</v>
      </c>
      <c r="H55" s="31">
        <f t="shared" si="2"/>
        <v>1663.9411764705883</v>
      </c>
      <c r="I55" s="117">
        <f t="shared" si="3"/>
        <v>1504.4117647058824</v>
      </c>
      <c r="J55" s="28" t="s">
        <v>150</v>
      </c>
      <c r="K55" s="28" t="s">
        <v>105</v>
      </c>
      <c r="L55" s="28" t="s">
        <v>110</v>
      </c>
      <c r="M55" s="28" t="s">
        <v>260</v>
      </c>
      <c r="N55" s="27">
        <v>2020</v>
      </c>
      <c r="O55" s="97" t="s">
        <v>257</v>
      </c>
    </row>
    <row r="56" spans="1:15" ht="57" x14ac:dyDescent="0.25">
      <c r="A56" s="113" t="s">
        <v>261</v>
      </c>
      <c r="B56" s="113" t="s">
        <v>262</v>
      </c>
      <c r="C56" s="113" t="s">
        <v>246</v>
      </c>
      <c r="D56" s="28" t="s">
        <v>15</v>
      </c>
      <c r="E56" s="118">
        <v>114547.54</v>
      </c>
      <c r="F56" s="118">
        <v>82650</v>
      </c>
      <c r="G56" s="28">
        <v>57</v>
      </c>
      <c r="H56" s="32">
        <f t="shared" si="2"/>
        <v>2009.6059649122806</v>
      </c>
      <c r="I56" s="54">
        <f t="shared" si="3"/>
        <v>1450</v>
      </c>
      <c r="J56" s="28" t="s">
        <v>150</v>
      </c>
      <c r="K56" s="28" t="s">
        <v>105</v>
      </c>
      <c r="L56" s="28" t="s">
        <v>101</v>
      </c>
      <c r="M56" s="28"/>
      <c r="N56" s="27">
        <v>2005</v>
      </c>
      <c r="O56" s="116" t="s">
        <v>263</v>
      </c>
    </row>
    <row r="57" spans="1:15" ht="42.75" x14ac:dyDescent="0.25">
      <c r="A57" s="113" t="s">
        <v>264</v>
      </c>
      <c r="B57" s="113" t="s">
        <v>262</v>
      </c>
      <c r="C57" s="113" t="s">
        <v>246</v>
      </c>
      <c r="D57" s="28" t="s">
        <v>15</v>
      </c>
      <c r="E57" s="31">
        <v>113947.27</v>
      </c>
      <c r="F57" s="31">
        <v>82650</v>
      </c>
      <c r="G57" s="28">
        <v>57</v>
      </c>
      <c r="H57" s="32">
        <f t="shared" si="2"/>
        <v>1999.0749122807019</v>
      </c>
      <c r="I57" s="54">
        <f t="shared" si="3"/>
        <v>1450</v>
      </c>
      <c r="J57" s="28" t="s">
        <v>99</v>
      </c>
      <c r="K57" s="28" t="s">
        <v>105</v>
      </c>
      <c r="L57" s="28" t="s">
        <v>101</v>
      </c>
      <c r="M57" s="28"/>
      <c r="N57" s="27">
        <v>2005</v>
      </c>
      <c r="O57" s="116" t="s">
        <v>263</v>
      </c>
    </row>
    <row r="58" spans="1:15" ht="14.25" x14ac:dyDescent="0.25">
      <c r="A58" s="113" t="s">
        <v>265</v>
      </c>
      <c r="B58" s="113" t="s">
        <v>266</v>
      </c>
      <c r="C58" s="113" t="s">
        <v>246</v>
      </c>
      <c r="D58" s="28" t="s">
        <v>15</v>
      </c>
      <c r="E58" s="31">
        <v>114000</v>
      </c>
      <c r="F58" s="31">
        <v>86640</v>
      </c>
      <c r="G58" s="28">
        <v>57</v>
      </c>
      <c r="H58" s="32">
        <f t="shared" si="2"/>
        <v>2000</v>
      </c>
      <c r="I58" s="54">
        <f t="shared" si="3"/>
        <v>1520</v>
      </c>
      <c r="J58" s="28" t="s">
        <v>152</v>
      </c>
      <c r="K58" s="28" t="s">
        <v>105</v>
      </c>
      <c r="L58" s="28" t="s">
        <v>101</v>
      </c>
      <c r="M58" s="28"/>
      <c r="N58" s="45" t="s">
        <v>267</v>
      </c>
      <c r="O58" s="116" t="s">
        <v>268</v>
      </c>
    </row>
    <row r="59" spans="1:15" ht="28.5" x14ac:dyDescent="0.25">
      <c r="A59" s="113" t="s">
        <v>269</v>
      </c>
      <c r="B59" s="113" t="s">
        <v>270</v>
      </c>
      <c r="C59" s="113" t="s">
        <v>246</v>
      </c>
      <c r="D59" s="28" t="s">
        <v>15</v>
      </c>
      <c r="E59" s="31">
        <v>124779.48</v>
      </c>
      <c r="F59" s="31">
        <v>111800</v>
      </c>
      <c r="G59" s="28">
        <v>86</v>
      </c>
      <c r="H59" s="32">
        <f t="shared" si="2"/>
        <v>1450.9241860465115</v>
      </c>
      <c r="I59" s="54">
        <f t="shared" si="3"/>
        <v>1300</v>
      </c>
      <c r="J59" s="28" t="s">
        <v>99</v>
      </c>
      <c r="K59" s="28" t="s">
        <v>100</v>
      </c>
      <c r="L59" s="28" t="s">
        <v>101</v>
      </c>
      <c r="M59" s="28"/>
      <c r="N59" s="27">
        <v>2016</v>
      </c>
      <c r="O59" s="116" t="s">
        <v>271</v>
      </c>
    </row>
    <row r="60" spans="1:15" ht="14.25" x14ac:dyDescent="0.25">
      <c r="A60" s="113" t="s">
        <v>272</v>
      </c>
      <c r="B60" s="113" t="s">
        <v>273</v>
      </c>
      <c r="C60" s="113" t="s">
        <v>246</v>
      </c>
      <c r="D60" s="28" t="s">
        <v>15</v>
      </c>
      <c r="E60" s="31">
        <v>140249.97</v>
      </c>
      <c r="F60" s="31">
        <v>136000</v>
      </c>
      <c r="G60" s="28">
        <v>85</v>
      </c>
      <c r="H60" s="32">
        <f t="shared" si="2"/>
        <v>1649.9996470588235</v>
      </c>
      <c r="I60" s="54">
        <f t="shared" si="3"/>
        <v>1600</v>
      </c>
      <c r="J60" s="28" t="s">
        <v>141</v>
      </c>
      <c r="K60" s="28" t="s">
        <v>105</v>
      </c>
      <c r="L60" s="28" t="s">
        <v>101</v>
      </c>
      <c r="M60" s="28"/>
      <c r="N60" s="27">
        <v>2018</v>
      </c>
      <c r="O60" s="116" t="s">
        <v>274</v>
      </c>
    </row>
    <row r="61" spans="1:15" ht="14.25" x14ac:dyDescent="0.25">
      <c r="A61" s="27" t="s">
        <v>275</v>
      </c>
      <c r="B61" s="28" t="s">
        <v>276</v>
      </c>
      <c r="C61" s="28" t="s">
        <v>277</v>
      </c>
      <c r="D61" s="28" t="s">
        <v>15</v>
      </c>
      <c r="E61" s="31">
        <v>118255.64</v>
      </c>
      <c r="F61" s="31">
        <v>76850</v>
      </c>
      <c r="G61" s="28">
        <v>53</v>
      </c>
      <c r="H61" s="31">
        <f t="shared" si="2"/>
        <v>2231.2384905660379</v>
      </c>
      <c r="I61" s="117">
        <f t="shared" si="3"/>
        <v>1450</v>
      </c>
      <c r="J61" s="28" t="s">
        <v>104</v>
      </c>
      <c r="K61" s="28" t="s">
        <v>105</v>
      </c>
      <c r="L61" s="28" t="s">
        <v>101</v>
      </c>
      <c r="M61" s="28"/>
      <c r="N61" s="27">
        <v>2003</v>
      </c>
      <c r="O61" s="97" t="s">
        <v>278</v>
      </c>
    </row>
    <row r="62" spans="1:15" ht="14.25" x14ac:dyDescent="0.25">
      <c r="A62" s="27" t="s">
        <v>279</v>
      </c>
      <c r="B62" s="28" t="s">
        <v>280</v>
      </c>
      <c r="C62" s="28" t="s">
        <v>36</v>
      </c>
      <c r="D62" s="28" t="s">
        <v>15</v>
      </c>
      <c r="E62" s="31">
        <v>133674</v>
      </c>
      <c r="F62" s="31">
        <v>105000</v>
      </c>
      <c r="G62" s="28">
        <v>84</v>
      </c>
      <c r="H62" s="31">
        <f t="shared" si="2"/>
        <v>1591.3571428571429</v>
      </c>
      <c r="I62" s="117">
        <f t="shared" si="3"/>
        <v>1250</v>
      </c>
      <c r="J62" s="28" t="s">
        <v>281</v>
      </c>
      <c r="K62" s="28" t="s">
        <v>105</v>
      </c>
      <c r="L62" s="28" t="s">
        <v>110</v>
      </c>
      <c r="M62" s="28" t="s">
        <v>111</v>
      </c>
      <c r="N62" s="27">
        <v>2013</v>
      </c>
      <c r="O62" s="97" t="s">
        <v>195</v>
      </c>
    </row>
    <row r="63" spans="1:15" ht="14.25" x14ac:dyDescent="0.25">
      <c r="A63" s="27" t="s">
        <v>282</v>
      </c>
      <c r="B63" s="28" t="s">
        <v>283</v>
      </c>
      <c r="C63" s="28" t="s">
        <v>36</v>
      </c>
      <c r="D63" s="28" t="s">
        <v>15</v>
      </c>
      <c r="E63" s="31">
        <v>240000</v>
      </c>
      <c r="F63" s="31">
        <v>205800</v>
      </c>
      <c r="G63" s="28">
        <v>147</v>
      </c>
      <c r="H63" s="31">
        <f t="shared" si="2"/>
        <v>1632.6530612244899</v>
      </c>
      <c r="I63" s="117">
        <f t="shared" si="3"/>
        <v>1400</v>
      </c>
      <c r="J63" s="28" t="s">
        <v>284</v>
      </c>
      <c r="K63" s="28" t="s">
        <v>105</v>
      </c>
      <c r="L63" s="28" t="s">
        <v>101</v>
      </c>
      <c r="M63" s="28"/>
      <c r="N63" s="27">
        <v>2005</v>
      </c>
      <c r="O63" s="97" t="s">
        <v>285</v>
      </c>
    </row>
    <row r="64" spans="1:15" ht="14.25" x14ac:dyDescent="0.25">
      <c r="A64" s="113" t="s">
        <v>286</v>
      </c>
      <c r="B64" s="114" t="s">
        <v>287</v>
      </c>
      <c r="C64" s="114" t="s">
        <v>36</v>
      </c>
      <c r="D64" s="28" t="s">
        <v>15</v>
      </c>
      <c r="E64" s="115">
        <v>236400</v>
      </c>
      <c r="F64" s="115">
        <v>236400</v>
      </c>
      <c r="G64" s="28">
        <v>156</v>
      </c>
      <c r="H64" s="32">
        <f t="shared" si="2"/>
        <v>1515.3846153846155</v>
      </c>
      <c r="I64" s="54">
        <f t="shared" si="3"/>
        <v>1515.3846153846155</v>
      </c>
      <c r="J64" s="28" t="s">
        <v>288</v>
      </c>
      <c r="K64" s="28" t="s">
        <v>105</v>
      </c>
      <c r="L64" s="28" t="s">
        <v>101</v>
      </c>
      <c r="M64" s="28"/>
      <c r="N64" s="27">
        <v>2009</v>
      </c>
      <c r="O64" s="116" t="s">
        <v>289</v>
      </c>
    </row>
    <row r="65" spans="1:15" ht="28.5" x14ac:dyDescent="0.25">
      <c r="A65" s="113" t="s">
        <v>290</v>
      </c>
      <c r="B65" s="113" t="s">
        <v>291</v>
      </c>
      <c r="C65" s="113" t="s">
        <v>14</v>
      </c>
      <c r="D65" s="28" t="s">
        <v>15</v>
      </c>
      <c r="E65" s="31">
        <v>75521.320000000007</v>
      </c>
      <c r="F65" s="31">
        <v>63000</v>
      </c>
      <c r="G65" s="28">
        <v>42</v>
      </c>
      <c r="H65" s="32">
        <f t="shared" si="2"/>
        <v>1798.1266666666668</v>
      </c>
      <c r="I65" s="54">
        <f t="shared" si="3"/>
        <v>1500</v>
      </c>
      <c r="J65" s="28" t="s">
        <v>219</v>
      </c>
      <c r="K65" s="28" t="s">
        <v>105</v>
      </c>
      <c r="L65" s="28" t="s">
        <v>101</v>
      </c>
      <c r="M65" s="28"/>
      <c r="N65" s="27">
        <v>2015</v>
      </c>
      <c r="O65" s="116" t="s">
        <v>102</v>
      </c>
    </row>
    <row r="66" spans="1:15" ht="14.25" x14ac:dyDescent="0.25">
      <c r="A66" s="27" t="s">
        <v>292</v>
      </c>
      <c r="B66" s="28" t="s">
        <v>293</v>
      </c>
      <c r="C66" s="28" t="s">
        <v>14</v>
      </c>
      <c r="D66" s="28" t="s">
        <v>15</v>
      </c>
      <c r="E66" s="31">
        <v>94800</v>
      </c>
      <c r="F66" s="31">
        <v>50400</v>
      </c>
      <c r="G66" s="28">
        <v>42</v>
      </c>
      <c r="H66" s="31">
        <f t="shared" ref="H66:H97" si="4">SUM(E66/G66)</f>
        <v>2257.1428571428573</v>
      </c>
      <c r="I66" s="117">
        <f t="shared" ref="I66:I102" si="5">SUM(F66/G66)</f>
        <v>1200</v>
      </c>
      <c r="J66" s="28" t="s">
        <v>294</v>
      </c>
      <c r="K66" s="28" t="s">
        <v>100</v>
      </c>
      <c r="L66" s="28" t="s">
        <v>101</v>
      </c>
      <c r="M66" s="28"/>
      <c r="N66" s="27">
        <v>2002</v>
      </c>
      <c r="O66" s="97" t="s">
        <v>130</v>
      </c>
    </row>
    <row r="67" spans="1:15" ht="28.5" x14ac:dyDescent="0.25">
      <c r="A67" s="35" t="s">
        <v>295</v>
      </c>
      <c r="B67" s="28" t="s">
        <v>296</v>
      </c>
      <c r="C67" s="28" t="s">
        <v>297</v>
      </c>
      <c r="D67" s="28" t="s">
        <v>15</v>
      </c>
      <c r="E67" s="31">
        <v>89270.88</v>
      </c>
      <c r="F67" s="31">
        <v>79300</v>
      </c>
      <c r="G67" s="28">
        <v>52</v>
      </c>
      <c r="H67" s="31">
        <f t="shared" si="4"/>
        <v>1716.7476923076924</v>
      </c>
      <c r="I67" s="117">
        <f t="shared" si="5"/>
        <v>1525</v>
      </c>
      <c r="J67" s="28" t="s">
        <v>298</v>
      </c>
      <c r="K67" s="28" t="s">
        <v>100</v>
      </c>
      <c r="L67" s="28" t="s">
        <v>101</v>
      </c>
      <c r="M67" s="28"/>
      <c r="N67" s="27">
        <v>2003</v>
      </c>
      <c r="O67" s="97" t="s">
        <v>130</v>
      </c>
    </row>
    <row r="68" spans="1:15" ht="14.25" x14ac:dyDescent="0.25">
      <c r="A68" s="27" t="s">
        <v>299</v>
      </c>
      <c r="B68" s="28" t="s">
        <v>300</v>
      </c>
      <c r="C68" s="28" t="s">
        <v>14</v>
      </c>
      <c r="D68" s="28" t="s">
        <v>15</v>
      </c>
      <c r="E68" s="31">
        <v>111000</v>
      </c>
      <c r="F68" s="31">
        <v>79500</v>
      </c>
      <c r="G68" s="28">
        <v>53</v>
      </c>
      <c r="H68" s="31">
        <f t="shared" si="4"/>
        <v>2094.3396226415093</v>
      </c>
      <c r="I68" s="117">
        <f t="shared" si="5"/>
        <v>1500</v>
      </c>
      <c r="J68" s="28" t="s">
        <v>301</v>
      </c>
      <c r="K68" s="28" t="s">
        <v>105</v>
      </c>
      <c r="L68" s="28" t="s">
        <v>101</v>
      </c>
      <c r="M68" s="28"/>
      <c r="N68" s="45" t="s">
        <v>302</v>
      </c>
      <c r="O68" s="97" t="s">
        <v>199</v>
      </c>
    </row>
    <row r="69" spans="1:15" ht="14.25" x14ac:dyDescent="0.25">
      <c r="A69" s="27" t="s">
        <v>303</v>
      </c>
      <c r="B69" s="28" t="s">
        <v>300</v>
      </c>
      <c r="C69" s="28" t="s">
        <v>14</v>
      </c>
      <c r="D69" s="28" t="s">
        <v>15</v>
      </c>
      <c r="E69" s="31">
        <v>123000</v>
      </c>
      <c r="F69" s="31">
        <v>76850</v>
      </c>
      <c r="G69" s="28">
        <v>53</v>
      </c>
      <c r="H69" s="31">
        <f t="shared" si="4"/>
        <v>2320.7547169811319</v>
      </c>
      <c r="I69" s="117">
        <f t="shared" si="5"/>
        <v>1450</v>
      </c>
      <c r="J69" s="28" t="s">
        <v>304</v>
      </c>
      <c r="K69" s="28" t="s">
        <v>105</v>
      </c>
      <c r="L69" s="28" t="s">
        <v>101</v>
      </c>
      <c r="M69" s="28"/>
      <c r="N69" s="27">
        <v>2004</v>
      </c>
      <c r="O69" s="97" t="s">
        <v>305</v>
      </c>
    </row>
    <row r="70" spans="1:15" ht="28.5" x14ac:dyDescent="0.25">
      <c r="A70" s="27" t="s">
        <v>306</v>
      </c>
      <c r="B70" s="28" t="s">
        <v>307</v>
      </c>
      <c r="C70" s="28" t="s">
        <v>14</v>
      </c>
      <c r="D70" s="28" t="s">
        <v>15</v>
      </c>
      <c r="E70" s="31">
        <v>129600</v>
      </c>
      <c r="F70" s="31">
        <v>108800</v>
      </c>
      <c r="G70" s="28">
        <v>68</v>
      </c>
      <c r="H70" s="31">
        <f t="shared" si="4"/>
        <v>1905.8823529411766</v>
      </c>
      <c r="I70" s="117">
        <f t="shared" si="5"/>
        <v>1600</v>
      </c>
      <c r="J70" s="28" t="s">
        <v>308</v>
      </c>
      <c r="K70" s="28" t="s">
        <v>105</v>
      </c>
      <c r="L70" s="28" t="s">
        <v>101</v>
      </c>
      <c r="M70" s="28"/>
      <c r="N70" s="27">
        <v>2000</v>
      </c>
      <c r="O70" s="97" t="s">
        <v>195</v>
      </c>
    </row>
    <row r="71" spans="1:15" ht="28.5" x14ac:dyDescent="0.25">
      <c r="A71" s="27" t="s">
        <v>309</v>
      </c>
      <c r="B71" s="28" t="s">
        <v>310</v>
      </c>
      <c r="C71" s="28" t="s">
        <v>14</v>
      </c>
      <c r="D71" s="28" t="s">
        <v>15</v>
      </c>
      <c r="E71" s="31">
        <v>134400</v>
      </c>
      <c r="F71" s="31">
        <v>106950</v>
      </c>
      <c r="G71" s="28">
        <v>69</v>
      </c>
      <c r="H71" s="31">
        <f t="shared" si="4"/>
        <v>1947.8260869565217</v>
      </c>
      <c r="I71" s="117">
        <f t="shared" si="5"/>
        <v>1550</v>
      </c>
      <c r="J71" s="28" t="s">
        <v>63</v>
      </c>
      <c r="K71" s="28" t="s">
        <v>105</v>
      </c>
      <c r="L71" s="28" t="s">
        <v>101</v>
      </c>
      <c r="M71" s="28"/>
      <c r="N71" s="27">
        <v>2018</v>
      </c>
      <c r="O71" s="97" t="s">
        <v>311</v>
      </c>
    </row>
    <row r="72" spans="1:15" ht="14.25" x14ac:dyDescent="0.25">
      <c r="A72" s="27" t="s">
        <v>312</v>
      </c>
      <c r="B72" s="28" t="s">
        <v>313</v>
      </c>
      <c r="C72" s="28" t="s">
        <v>297</v>
      </c>
      <c r="D72" s="28" t="s">
        <v>15</v>
      </c>
      <c r="E72" s="31">
        <v>145725.65</v>
      </c>
      <c r="F72" s="31">
        <v>110050</v>
      </c>
      <c r="G72" s="28">
        <v>71</v>
      </c>
      <c r="H72" s="31">
        <f t="shared" si="4"/>
        <v>2052.4739436619716</v>
      </c>
      <c r="I72" s="117">
        <f t="shared" si="5"/>
        <v>1550</v>
      </c>
      <c r="J72" s="28" t="s">
        <v>152</v>
      </c>
      <c r="K72" s="28" t="s">
        <v>105</v>
      </c>
      <c r="L72" s="28" t="s">
        <v>101</v>
      </c>
      <c r="M72" s="28"/>
      <c r="N72" s="27">
        <v>2015</v>
      </c>
      <c r="O72" s="97" t="s">
        <v>18</v>
      </c>
    </row>
    <row r="73" spans="1:15" ht="14.25" x14ac:dyDescent="0.25">
      <c r="A73" s="27" t="s">
        <v>314</v>
      </c>
      <c r="B73" s="28" t="s">
        <v>315</v>
      </c>
      <c r="C73" s="28" t="s">
        <v>14</v>
      </c>
      <c r="D73" s="28" t="s">
        <v>15</v>
      </c>
      <c r="E73" s="31">
        <v>149541.84</v>
      </c>
      <c r="F73" s="31">
        <v>107300</v>
      </c>
      <c r="G73" s="28">
        <v>74</v>
      </c>
      <c r="H73" s="31">
        <f t="shared" si="4"/>
        <v>2020.8356756756757</v>
      </c>
      <c r="I73" s="117">
        <f t="shared" si="5"/>
        <v>1450</v>
      </c>
      <c r="J73" s="28" t="s">
        <v>316</v>
      </c>
      <c r="K73" s="28" t="s">
        <v>105</v>
      </c>
      <c r="L73" s="28" t="s">
        <v>101</v>
      </c>
      <c r="M73" s="28"/>
      <c r="N73" s="27">
        <v>1998</v>
      </c>
      <c r="O73" s="97" t="s">
        <v>112</v>
      </c>
    </row>
    <row r="74" spans="1:15" ht="14.25" x14ac:dyDescent="0.25">
      <c r="A74" s="27" t="s">
        <v>317</v>
      </c>
      <c r="B74" s="28" t="s">
        <v>296</v>
      </c>
      <c r="C74" s="28" t="s">
        <v>297</v>
      </c>
      <c r="D74" s="28" t="s">
        <v>15</v>
      </c>
      <c r="E74" s="31">
        <v>121922.76</v>
      </c>
      <c r="F74" s="31">
        <v>121922.76</v>
      </c>
      <c r="G74" s="28">
        <v>77</v>
      </c>
      <c r="H74" s="31">
        <f t="shared" si="4"/>
        <v>1583.4124675324674</v>
      </c>
      <c r="I74" s="117">
        <f t="shared" si="5"/>
        <v>1583.4124675324674</v>
      </c>
      <c r="J74" s="28" t="s">
        <v>99</v>
      </c>
      <c r="K74" s="28" t="s">
        <v>100</v>
      </c>
      <c r="L74" s="28" t="s">
        <v>101</v>
      </c>
      <c r="M74" s="28"/>
      <c r="N74" s="27">
        <v>2011</v>
      </c>
      <c r="O74" s="97" t="s">
        <v>130</v>
      </c>
    </row>
    <row r="75" spans="1:15" ht="28.5" x14ac:dyDescent="0.25">
      <c r="A75" s="27" t="s">
        <v>318</v>
      </c>
      <c r="B75" s="28" t="s">
        <v>319</v>
      </c>
      <c r="C75" s="28" t="s">
        <v>14</v>
      </c>
      <c r="D75" s="28" t="s">
        <v>15</v>
      </c>
      <c r="E75" s="31">
        <v>142000</v>
      </c>
      <c r="F75" s="31">
        <v>124800</v>
      </c>
      <c r="G75" s="28">
        <v>78</v>
      </c>
      <c r="H75" s="31">
        <f t="shared" si="4"/>
        <v>1820.5128205128206</v>
      </c>
      <c r="I75" s="117">
        <f t="shared" si="5"/>
        <v>1600</v>
      </c>
      <c r="J75" s="28" t="s">
        <v>320</v>
      </c>
      <c r="K75" s="28" t="s">
        <v>105</v>
      </c>
      <c r="L75" s="28" t="s">
        <v>101</v>
      </c>
      <c r="M75" s="28"/>
      <c r="N75" s="27">
        <v>2009</v>
      </c>
      <c r="O75" s="97" t="s">
        <v>321</v>
      </c>
    </row>
    <row r="76" spans="1:15" ht="14.25" x14ac:dyDescent="0.25">
      <c r="A76" s="27" t="s">
        <v>322</v>
      </c>
      <c r="B76" s="28" t="s">
        <v>323</v>
      </c>
      <c r="C76" s="28" t="s">
        <v>297</v>
      </c>
      <c r="D76" s="28" t="s">
        <v>15</v>
      </c>
      <c r="E76" s="31">
        <v>166800</v>
      </c>
      <c r="F76" s="31">
        <v>117000</v>
      </c>
      <c r="G76" s="28">
        <v>78</v>
      </c>
      <c r="H76" s="31">
        <f t="shared" si="4"/>
        <v>2138.4615384615386</v>
      </c>
      <c r="I76" s="117">
        <f t="shared" si="5"/>
        <v>1500</v>
      </c>
      <c r="J76" s="28" t="s">
        <v>324</v>
      </c>
      <c r="K76" s="28" t="s">
        <v>105</v>
      </c>
      <c r="L76" s="28" t="s">
        <v>101</v>
      </c>
      <c r="M76" s="28"/>
      <c r="N76" s="27">
        <v>2015</v>
      </c>
      <c r="O76" s="97" t="s">
        <v>321</v>
      </c>
    </row>
    <row r="77" spans="1:15" ht="42.75" x14ac:dyDescent="0.25">
      <c r="A77" s="27" t="s">
        <v>325</v>
      </c>
      <c r="B77" s="28" t="s">
        <v>326</v>
      </c>
      <c r="C77" s="28" t="s">
        <v>14</v>
      </c>
      <c r="D77" s="28" t="s">
        <v>15</v>
      </c>
      <c r="E77" s="31">
        <v>149518</v>
      </c>
      <c r="F77" s="31">
        <v>122450</v>
      </c>
      <c r="G77" s="28">
        <v>79</v>
      </c>
      <c r="H77" s="31">
        <f t="shared" si="4"/>
        <v>1892.632911392405</v>
      </c>
      <c r="I77" s="117">
        <f t="shared" si="5"/>
        <v>1550</v>
      </c>
      <c r="J77" s="28" t="s">
        <v>104</v>
      </c>
      <c r="K77" s="28" t="s">
        <v>105</v>
      </c>
      <c r="L77" s="28" t="s">
        <v>101</v>
      </c>
      <c r="M77" s="28"/>
      <c r="N77" s="27">
        <v>2012</v>
      </c>
      <c r="O77" s="97" t="s">
        <v>64</v>
      </c>
    </row>
    <row r="78" spans="1:15" ht="14.25" x14ac:dyDescent="0.25">
      <c r="A78" s="27" t="s">
        <v>327</v>
      </c>
      <c r="B78" s="28" t="s">
        <v>313</v>
      </c>
      <c r="C78" s="28" t="s">
        <v>297</v>
      </c>
      <c r="D78" s="28" t="s">
        <v>15</v>
      </c>
      <c r="E78" s="33">
        <v>160800</v>
      </c>
      <c r="F78" s="33">
        <v>137950</v>
      </c>
      <c r="G78" s="28">
        <v>89</v>
      </c>
      <c r="H78" s="31">
        <f t="shared" si="4"/>
        <v>1806.7415730337079</v>
      </c>
      <c r="I78" s="117">
        <f t="shared" si="5"/>
        <v>1550</v>
      </c>
      <c r="J78" s="26" t="s">
        <v>288</v>
      </c>
      <c r="K78" s="28" t="s">
        <v>105</v>
      </c>
      <c r="L78" s="28" t="s">
        <v>101</v>
      </c>
      <c r="M78" s="28"/>
      <c r="N78" s="27">
        <v>2013</v>
      </c>
      <c r="O78" s="97" t="s">
        <v>328</v>
      </c>
    </row>
    <row r="79" spans="1:15" ht="28.5" x14ac:dyDescent="0.25">
      <c r="A79" s="27" t="s">
        <v>329</v>
      </c>
      <c r="B79" s="28" t="s">
        <v>330</v>
      </c>
      <c r="C79" s="28" t="s">
        <v>297</v>
      </c>
      <c r="D79" s="28" t="s">
        <v>15</v>
      </c>
      <c r="E79" s="31">
        <v>172428.14</v>
      </c>
      <c r="F79" s="31">
        <v>151300</v>
      </c>
      <c r="G79" s="28">
        <v>89</v>
      </c>
      <c r="H79" s="31">
        <f t="shared" si="4"/>
        <v>1937.3948314606744</v>
      </c>
      <c r="I79" s="117">
        <f t="shared" si="5"/>
        <v>1700</v>
      </c>
      <c r="J79" s="28" t="s">
        <v>331</v>
      </c>
      <c r="K79" s="28" t="s">
        <v>105</v>
      </c>
      <c r="L79" s="28" t="s">
        <v>101</v>
      </c>
      <c r="M79" s="28"/>
      <c r="N79" s="27">
        <v>2009</v>
      </c>
      <c r="O79" s="97" t="s">
        <v>328</v>
      </c>
    </row>
    <row r="80" spans="1:15" ht="28.5" x14ac:dyDescent="0.25">
      <c r="A80" s="113" t="s">
        <v>332</v>
      </c>
      <c r="B80" s="113" t="s">
        <v>333</v>
      </c>
      <c r="C80" s="113" t="s">
        <v>14</v>
      </c>
      <c r="D80" s="28" t="s">
        <v>15</v>
      </c>
      <c r="E80" s="31">
        <v>143556.01</v>
      </c>
      <c r="F80" s="31">
        <v>143556.01</v>
      </c>
      <c r="G80" s="28">
        <v>90</v>
      </c>
      <c r="H80" s="32">
        <f t="shared" si="4"/>
        <v>1595.0667777777778</v>
      </c>
      <c r="I80" s="54">
        <f t="shared" si="5"/>
        <v>1595.0667777777778</v>
      </c>
      <c r="J80" s="28" t="s">
        <v>334</v>
      </c>
      <c r="K80" s="28" t="s">
        <v>105</v>
      </c>
      <c r="L80" s="28" t="s">
        <v>101</v>
      </c>
      <c r="M80" s="28"/>
      <c r="N80" s="27">
        <v>2004</v>
      </c>
      <c r="O80" s="116" t="s">
        <v>289</v>
      </c>
    </row>
    <row r="81" spans="1:15" ht="14.25" x14ac:dyDescent="0.25">
      <c r="A81" s="113" t="s">
        <v>335</v>
      </c>
      <c r="B81" s="113" t="s">
        <v>293</v>
      </c>
      <c r="C81" s="113" t="s">
        <v>14</v>
      </c>
      <c r="D81" s="28" t="s">
        <v>15</v>
      </c>
      <c r="E81" s="31">
        <v>165600</v>
      </c>
      <c r="F81" s="31">
        <v>149500</v>
      </c>
      <c r="G81" s="28">
        <v>92</v>
      </c>
      <c r="H81" s="32">
        <f t="shared" si="4"/>
        <v>1800</v>
      </c>
      <c r="I81" s="54">
        <f t="shared" si="5"/>
        <v>1625</v>
      </c>
      <c r="J81" s="28" t="s">
        <v>336</v>
      </c>
      <c r="K81" s="28" t="s">
        <v>105</v>
      </c>
      <c r="L81" s="28" t="s">
        <v>101</v>
      </c>
      <c r="M81" s="28"/>
      <c r="N81" s="27">
        <v>2016</v>
      </c>
      <c r="O81" s="116" t="s">
        <v>337</v>
      </c>
    </row>
    <row r="82" spans="1:15" ht="14.25" x14ac:dyDescent="0.25">
      <c r="A82" s="27" t="s">
        <v>338</v>
      </c>
      <c r="B82" s="28" t="s">
        <v>339</v>
      </c>
      <c r="C82" s="28" t="s">
        <v>14</v>
      </c>
      <c r="D82" s="28" t="s">
        <v>15</v>
      </c>
      <c r="E82" s="31">
        <v>154114.21</v>
      </c>
      <c r="F82" s="31">
        <v>132600</v>
      </c>
      <c r="G82" s="28">
        <v>102</v>
      </c>
      <c r="H82" s="31">
        <f t="shared" si="4"/>
        <v>1510.9236274509803</v>
      </c>
      <c r="I82" s="117">
        <f t="shared" si="5"/>
        <v>1300</v>
      </c>
      <c r="J82" s="28" t="s">
        <v>104</v>
      </c>
      <c r="K82" s="28" t="s">
        <v>105</v>
      </c>
      <c r="L82" s="28" t="s">
        <v>110</v>
      </c>
      <c r="M82" s="28" t="s">
        <v>111</v>
      </c>
      <c r="N82" s="27">
        <v>2008</v>
      </c>
      <c r="O82" s="97" t="s">
        <v>285</v>
      </c>
    </row>
    <row r="83" spans="1:15" ht="28.5" x14ac:dyDescent="0.25">
      <c r="A83" s="27" t="s">
        <v>340</v>
      </c>
      <c r="B83" s="28" t="s">
        <v>319</v>
      </c>
      <c r="C83" s="28" t="s">
        <v>14</v>
      </c>
      <c r="D83" s="28" t="s">
        <v>15</v>
      </c>
      <c r="E83" s="31">
        <v>171600</v>
      </c>
      <c r="F83" s="31">
        <v>155550</v>
      </c>
      <c r="G83" s="28">
        <v>102</v>
      </c>
      <c r="H83" s="31">
        <f t="shared" si="4"/>
        <v>1682.3529411764705</v>
      </c>
      <c r="I83" s="117">
        <f t="shared" si="5"/>
        <v>1525</v>
      </c>
      <c r="J83" s="28" t="s">
        <v>341</v>
      </c>
      <c r="K83" s="28" t="s">
        <v>105</v>
      </c>
      <c r="L83" s="28" t="s">
        <v>101</v>
      </c>
      <c r="M83" s="28"/>
      <c r="N83" s="27">
        <v>2007</v>
      </c>
      <c r="O83" s="97" t="s">
        <v>321</v>
      </c>
    </row>
    <row r="84" spans="1:15" ht="42.75" x14ac:dyDescent="0.25">
      <c r="A84" s="27" t="s">
        <v>342</v>
      </c>
      <c r="B84" s="28" t="s">
        <v>315</v>
      </c>
      <c r="C84" s="28" t="s">
        <v>14</v>
      </c>
      <c r="D84" s="28" t="s">
        <v>15</v>
      </c>
      <c r="E84" s="31">
        <v>186897.64</v>
      </c>
      <c r="F84" s="31">
        <v>169000</v>
      </c>
      <c r="G84" s="28">
        <v>104</v>
      </c>
      <c r="H84" s="31">
        <f t="shared" si="4"/>
        <v>1797.0926923076925</v>
      </c>
      <c r="I84" s="117">
        <f t="shared" si="5"/>
        <v>1625</v>
      </c>
      <c r="J84" s="28" t="s">
        <v>104</v>
      </c>
      <c r="K84" s="28" t="s">
        <v>105</v>
      </c>
      <c r="L84" s="28" t="s">
        <v>101</v>
      </c>
      <c r="M84" s="28"/>
      <c r="N84" s="27">
        <v>1998</v>
      </c>
      <c r="O84" s="97" t="s">
        <v>64</v>
      </c>
    </row>
    <row r="85" spans="1:15" ht="14.25" x14ac:dyDescent="0.25">
      <c r="A85" s="27" t="s">
        <v>343</v>
      </c>
      <c r="B85" s="28" t="s">
        <v>344</v>
      </c>
      <c r="C85" s="28" t="s">
        <v>297</v>
      </c>
      <c r="D85" s="28" t="s">
        <v>15</v>
      </c>
      <c r="E85" s="31">
        <v>160693.04999999999</v>
      </c>
      <c r="F85" s="31">
        <v>115500</v>
      </c>
      <c r="G85" s="28">
        <v>105</v>
      </c>
      <c r="H85" s="31">
        <f t="shared" si="4"/>
        <v>1530.4099999999999</v>
      </c>
      <c r="I85" s="117">
        <f t="shared" si="5"/>
        <v>1100</v>
      </c>
      <c r="J85" s="28" t="s">
        <v>345</v>
      </c>
      <c r="K85" s="28" t="s">
        <v>100</v>
      </c>
      <c r="L85" s="28" t="s">
        <v>101</v>
      </c>
      <c r="M85" s="28"/>
      <c r="N85" s="27">
        <v>1999</v>
      </c>
      <c r="O85" s="97" t="s">
        <v>346</v>
      </c>
    </row>
    <row r="86" spans="1:15" ht="14.25" x14ac:dyDescent="0.25">
      <c r="A86" s="27" t="s">
        <v>347</v>
      </c>
      <c r="B86" s="28" t="s">
        <v>315</v>
      </c>
      <c r="C86" s="28" t="s">
        <v>14</v>
      </c>
      <c r="D86" s="28" t="s">
        <v>15</v>
      </c>
      <c r="E86" s="31">
        <v>189912.11</v>
      </c>
      <c r="F86" s="31">
        <v>189912.11</v>
      </c>
      <c r="G86" s="28">
        <v>108</v>
      </c>
      <c r="H86" s="31">
        <f t="shared" si="4"/>
        <v>1758.4454629629629</v>
      </c>
      <c r="I86" s="117">
        <f t="shared" si="5"/>
        <v>1758.4454629629629</v>
      </c>
      <c r="J86" s="28" t="s">
        <v>104</v>
      </c>
      <c r="K86" s="28" t="s">
        <v>105</v>
      </c>
      <c r="L86" s="28" t="s">
        <v>101</v>
      </c>
      <c r="M86" s="28"/>
      <c r="N86" s="27">
        <v>2018</v>
      </c>
      <c r="O86" s="97" t="s">
        <v>328</v>
      </c>
    </row>
    <row r="87" spans="1:15" ht="14.25" x14ac:dyDescent="0.25">
      <c r="A87" s="27" t="s">
        <v>348</v>
      </c>
      <c r="B87" s="28" t="s">
        <v>349</v>
      </c>
      <c r="C87" s="28" t="s">
        <v>14</v>
      </c>
      <c r="D87" s="28" t="s">
        <v>15</v>
      </c>
      <c r="E87" s="31">
        <v>171180</v>
      </c>
      <c r="F87" s="31">
        <v>171180</v>
      </c>
      <c r="G87" s="28">
        <v>108</v>
      </c>
      <c r="H87" s="31">
        <f t="shared" si="4"/>
        <v>1585</v>
      </c>
      <c r="I87" s="117">
        <f t="shared" si="5"/>
        <v>1585</v>
      </c>
      <c r="J87" s="28" t="s">
        <v>208</v>
      </c>
      <c r="K87" s="28" t="s">
        <v>105</v>
      </c>
      <c r="L87" s="28" t="s">
        <v>110</v>
      </c>
      <c r="M87" s="28" t="s">
        <v>111</v>
      </c>
      <c r="N87" s="27">
        <v>2019</v>
      </c>
      <c r="O87" s="97" t="s">
        <v>127</v>
      </c>
    </row>
    <row r="88" spans="1:15" ht="14.25" x14ac:dyDescent="0.25">
      <c r="A88" s="113" t="s">
        <v>350</v>
      </c>
      <c r="B88" s="113" t="s">
        <v>351</v>
      </c>
      <c r="C88" s="113" t="s">
        <v>14</v>
      </c>
      <c r="D88" s="28" t="s">
        <v>15</v>
      </c>
      <c r="E88" s="31">
        <v>173600</v>
      </c>
      <c r="F88" s="31">
        <v>173600</v>
      </c>
      <c r="G88" s="28">
        <v>112</v>
      </c>
      <c r="H88" s="32">
        <f t="shared" si="4"/>
        <v>1550</v>
      </c>
      <c r="I88" s="54">
        <f t="shared" si="5"/>
        <v>1550</v>
      </c>
      <c r="J88" s="28" t="s">
        <v>352</v>
      </c>
      <c r="K88" s="28" t="s">
        <v>100</v>
      </c>
      <c r="L88" s="28" t="s">
        <v>101</v>
      </c>
      <c r="M88" s="28"/>
      <c r="N88" s="27">
        <v>2000</v>
      </c>
      <c r="O88" s="116" t="s">
        <v>353</v>
      </c>
    </row>
    <row r="89" spans="1:15" ht="14.25" x14ac:dyDescent="0.25">
      <c r="A89" s="27" t="s">
        <v>354</v>
      </c>
      <c r="B89" s="28" t="s">
        <v>355</v>
      </c>
      <c r="C89" s="28" t="s">
        <v>14</v>
      </c>
      <c r="D89" s="28" t="s">
        <v>15</v>
      </c>
      <c r="E89" s="31">
        <v>192241.94</v>
      </c>
      <c r="F89" s="31">
        <v>171000</v>
      </c>
      <c r="G89" s="28">
        <v>114</v>
      </c>
      <c r="H89" s="31">
        <f t="shared" si="4"/>
        <v>1686.3328070175439</v>
      </c>
      <c r="I89" s="117">
        <f t="shared" si="5"/>
        <v>1500</v>
      </c>
      <c r="J89" s="28" t="s">
        <v>82</v>
      </c>
      <c r="K89" s="28" t="s">
        <v>105</v>
      </c>
      <c r="L89" s="28" t="s">
        <v>101</v>
      </c>
      <c r="M89" s="28"/>
      <c r="N89" s="27">
        <v>1996</v>
      </c>
      <c r="O89" s="97" t="s">
        <v>321</v>
      </c>
    </row>
    <row r="90" spans="1:15" ht="14.25" x14ac:dyDescent="0.25">
      <c r="A90" s="27" t="s">
        <v>356</v>
      </c>
      <c r="B90" s="28" t="s">
        <v>357</v>
      </c>
      <c r="C90" s="28" t="s">
        <v>14</v>
      </c>
      <c r="D90" s="28" t="s">
        <v>15</v>
      </c>
      <c r="E90" s="31">
        <v>178125</v>
      </c>
      <c r="F90" s="31">
        <v>178125</v>
      </c>
      <c r="G90" s="28">
        <v>125</v>
      </c>
      <c r="H90" s="31">
        <f t="shared" si="4"/>
        <v>1425</v>
      </c>
      <c r="I90" s="117">
        <f t="shared" si="5"/>
        <v>1425</v>
      </c>
      <c r="J90" s="28" t="s">
        <v>358</v>
      </c>
      <c r="K90" s="28" t="s">
        <v>105</v>
      </c>
      <c r="L90" s="28" t="s">
        <v>101</v>
      </c>
      <c r="M90" s="28"/>
      <c r="N90" s="27">
        <v>2018</v>
      </c>
      <c r="O90" s="97" t="s">
        <v>359</v>
      </c>
    </row>
    <row r="91" spans="1:15" ht="14.25" x14ac:dyDescent="0.25">
      <c r="A91" s="113" t="s">
        <v>360</v>
      </c>
      <c r="B91" s="113" t="s">
        <v>293</v>
      </c>
      <c r="C91" s="113" t="s">
        <v>14</v>
      </c>
      <c r="D91" s="28" t="s">
        <v>15</v>
      </c>
      <c r="E91" s="31">
        <v>237600</v>
      </c>
      <c r="F91" s="31">
        <v>237600</v>
      </c>
      <c r="G91" s="28">
        <v>132</v>
      </c>
      <c r="H91" s="32">
        <f t="shared" si="4"/>
        <v>1800</v>
      </c>
      <c r="I91" s="54">
        <f t="shared" si="5"/>
        <v>1800</v>
      </c>
      <c r="J91" s="28" t="s">
        <v>298</v>
      </c>
      <c r="K91" s="28" t="s">
        <v>105</v>
      </c>
      <c r="L91" s="28" t="s">
        <v>101</v>
      </c>
      <c r="M91" s="28"/>
      <c r="N91" s="27">
        <v>2019</v>
      </c>
      <c r="O91" s="116" t="s">
        <v>337</v>
      </c>
    </row>
    <row r="92" spans="1:15" ht="28.5" x14ac:dyDescent="0.25">
      <c r="A92" s="27" t="s">
        <v>361</v>
      </c>
      <c r="B92" s="28" t="s">
        <v>344</v>
      </c>
      <c r="C92" s="28" t="s">
        <v>297</v>
      </c>
      <c r="D92" s="28" t="s">
        <v>15</v>
      </c>
      <c r="E92" s="31">
        <v>191080.48</v>
      </c>
      <c r="F92" s="31">
        <v>154100</v>
      </c>
      <c r="G92" s="28">
        <v>134</v>
      </c>
      <c r="H92" s="31">
        <f t="shared" si="4"/>
        <v>1425.9737313432836</v>
      </c>
      <c r="I92" s="117">
        <f t="shared" si="5"/>
        <v>1150</v>
      </c>
      <c r="J92" s="28" t="s">
        <v>122</v>
      </c>
      <c r="K92" s="28" t="s">
        <v>100</v>
      </c>
      <c r="L92" s="28" t="s">
        <v>101</v>
      </c>
      <c r="M92" s="28"/>
      <c r="N92" s="27">
        <v>2006</v>
      </c>
      <c r="O92" s="97" t="s">
        <v>18</v>
      </c>
    </row>
    <row r="93" spans="1:15" ht="14.25" x14ac:dyDescent="0.25">
      <c r="A93" s="27" t="s">
        <v>362</v>
      </c>
      <c r="B93" s="28" t="s">
        <v>339</v>
      </c>
      <c r="C93" s="28" t="s">
        <v>14</v>
      </c>
      <c r="D93" s="28" t="s">
        <v>15</v>
      </c>
      <c r="E93" s="31">
        <v>226800</v>
      </c>
      <c r="F93" s="31">
        <v>226800</v>
      </c>
      <c r="G93" s="28">
        <v>142</v>
      </c>
      <c r="H93" s="31">
        <f t="shared" si="4"/>
        <v>1597.1830985915492</v>
      </c>
      <c r="I93" s="117">
        <f t="shared" si="5"/>
        <v>1597.1830985915492</v>
      </c>
      <c r="J93" s="28" t="s">
        <v>216</v>
      </c>
      <c r="K93" s="28" t="s">
        <v>105</v>
      </c>
      <c r="L93" s="28" t="s">
        <v>110</v>
      </c>
      <c r="M93" s="28" t="s">
        <v>111</v>
      </c>
      <c r="N93" s="27">
        <v>2002</v>
      </c>
      <c r="O93" s="97" t="s">
        <v>285</v>
      </c>
    </row>
    <row r="94" spans="1:15" ht="14.25" x14ac:dyDescent="0.25">
      <c r="A94" s="27" t="s">
        <v>363</v>
      </c>
      <c r="B94" s="28" t="s">
        <v>364</v>
      </c>
      <c r="C94" s="28" t="s">
        <v>14</v>
      </c>
      <c r="D94" s="28" t="s">
        <v>15</v>
      </c>
      <c r="E94" s="31">
        <v>263856</v>
      </c>
      <c r="F94" s="31">
        <v>263856</v>
      </c>
      <c r="G94" s="28">
        <v>187</v>
      </c>
      <c r="H94" s="31">
        <f t="shared" si="4"/>
        <v>1410.9946524064171</v>
      </c>
      <c r="I94" s="117">
        <f t="shared" si="5"/>
        <v>1410.9946524064171</v>
      </c>
      <c r="J94" s="28" t="s">
        <v>141</v>
      </c>
      <c r="K94" s="28" t="s">
        <v>105</v>
      </c>
      <c r="L94" s="28" t="s">
        <v>101</v>
      </c>
      <c r="M94" s="28"/>
      <c r="N94" s="27">
        <v>2009</v>
      </c>
      <c r="O94" s="97" t="s">
        <v>203</v>
      </c>
    </row>
    <row r="95" spans="1:15" ht="14.25" x14ac:dyDescent="0.25">
      <c r="A95" s="27" t="s">
        <v>365</v>
      </c>
      <c r="B95" s="28" t="s">
        <v>366</v>
      </c>
      <c r="C95" s="28" t="s">
        <v>57</v>
      </c>
      <c r="D95" s="28" t="s">
        <v>15</v>
      </c>
      <c r="E95" s="31">
        <v>87476.36</v>
      </c>
      <c r="F95" s="31">
        <v>87476.36</v>
      </c>
      <c r="G95" s="28">
        <v>56</v>
      </c>
      <c r="H95" s="31">
        <f t="shared" si="4"/>
        <v>1562.0778571428571</v>
      </c>
      <c r="I95" s="117">
        <f t="shared" si="5"/>
        <v>1562.0778571428571</v>
      </c>
      <c r="J95" s="28" t="s">
        <v>367</v>
      </c>
      <c r="K95" s="28" t="s">
        <v>100</v>
      </c>
      <c r="L95" s="28" t="s">
        <v>101</v>
      </c>
      <c r="M95" s="28"/>
      <c r="N95" s="27">
        <v>2016</v>
      </c>
      <c r="O95" s="97" t="s">
        <v>328</v>
      </c>
    </row>
    <row r="96" spans="1:15" ht="14.25" x14ac:dyDescent="0.25">
      <c r="A96" s="27" t="s">
        <v>368</v>
      </c>
      <c r="B96" s="28" t="s">
        <v>366</v>
      </c>
      <c r="C96" s="28" t="s">
        <v>57</v>
      </c>
      <c r="D96" s="28" t="s">
        <v>15</v>
      </c>
      <c r="E96" s="31">
        <v>94459.39</v>
      </c>
      <c r="F96" s="31">
        <v>94459.39</v>
      </c>
      <c r="G96" s="28">
        <v>55</v>
      </c>
      <c r="H96" s="31">
        <f t="shared" si="4"/>
        <v>1717.4434545454546</v>
      </c>
      <c r="I96" s="117">
        <f t="shared" si="5"/>
        <v>1717.4434545454546</v>
      </c>
      <c r="J96" s="28" t="s">
        <v>104</v>
      </c>
      <c r="K96" s="28" t="s">
        <v>100</v>
      </c>
      <c r="L96" s="28" t="s">
        <v>101</v>
      </c>
      <c r="M96" s="28"/>
      <c r="N96" s="27">
        <v>2009</v>
      </c>
      <c r="O96" s="97" t="s">
        <v>328</v>
      </c>
    </row>
    <row r="97" spans="1:25" ht="14.25" x14ac:dyDescent="0.25">
      <c r="A97" s="27" t="s">
        <v>369</v>
      </c>
      <c r="B97" s="28" t="s">
        <v>366</v>
      </c>
      <c r="C97" s="28" t="s">
        <v>57</v>
      </c>
      <c r="D97" s="28" t="s">
        <v>15</v>
      </c>
      <c r="E97" s="31">
        <v>94459.39</v>
      </c>
      <c r="F97" s="31">
        <v>94459.39</v>
      </c>
      <c r="G97" s="28">
        <v>55</v>
      </c>
      <c r="H97" s="31">
        <f t="shared" si="4"/>
        <v>1717.4434545454546</v>
      </c>
      <c r="I97" s="117">
        <f t="shared" si="5"/>
        <v>1717.4434545454546</v>
      </c>
      <c r="J97" s="28" t="s">
        <v>370</v>
      </c>
      <c r="K97" s="28" t="s">
        <v>100</v>
      </c>
      <c r="L97" s="28" t="s">
        <v>101</v>
      </c>
      <c r="M97" s="28"/>
      <c r="N97" s="27">
        <v>2009</v>
      </c>
      <c r="O97" s="97" t="s">
        <v>328</v>
      </c>
    </row>
    <row r="98" spans="1:25" ht="28.5" x14ac:dyDescent="0.25">
      <c r="A98" s="113" t="s">
        <v>371</v>
      </c>
      <c r="B98" s="114" t="s">
        <v>372</v>
      </c>
      <c r="C98" s="114" t="s">
        <v>57</v>
      </c>
      <c r="D98" s="28" t="s">
        <v>15</v>
      </c>
      <c r="E98" s="115">
        <v>87971.04</v>
      </c>
      <c r="F98" s="115">
        <v>73700</v>
      </c>
      <c r="G98" s="28">
        <v>67</v>
      </c>
      <c r="H98" s="31">
        <f t="shared" ref="H98:H129" si="6">SUM(E98/G98)</f>
        <v>1313.0005970149252</v>
      </c>
      <c r="I98" s="117">
        <f t="shared" si="5"/>
        <v>1100</v>
      </c>
      <c r="J98" s="28" t="s">
        <v>373</v>
      </c>
      <c r="K98" s="28" t="s">
        <v>105</v>
      </c>
      <c r="L98" s="28" t="s">
        <v>110</v>
      </c>
      <c r="M98" s="28" t="s">
        <v>374</v>
      </c>
      <c r="N98" s="27">
        <v>2004</v>
      </c>
      <c r="O98" s="116" t="s">
        <v>375</v>
      </c>
    </row>
    <row r="99" spans="1:25" ht="57" x14ac:dyDescent="0.25">
      <c r="A99" s="113" t="s">
        <v>376</v>
      </c>
      <c r="B99" s="113" t="s">
        <v>377</v>
      </c>
      <c r="C99" s="113" t="s">
        <v>57</v>
      </c>
      <c r="D99" s="28" t="s">
        <v>15</v>
      </c>
      <c r="E99" s="31">
        <v>135082.14000000001</v>
      </c>
      <c r="F99" s="31">
        <v>115500</v>
      </c>
      <c r="G99" s="28">
        <v>70</v>
      </c>
      <c r="H99" s="32">
        <f t="shared" si="6"/>
        <v>1929.7448571428574</v>
      </c>
      <c r="I99" s="54">
        <f t="shared" si="5"/>
        <v>1650</v>
      </c>
      <c r="J99" s="28" t="s">
        <v>99</v>
      </c>
      <c r="K99" s="28" t="s">
        <v>105</v>
      </c>
      <c r="L99" s="28" t="s">
        <v>101</v>
      </c>
      <c r="M99" s="28"/>
      <c r="N99" s="27">
        <v>2008</v>
      </c>
      <c r="O99" s="116" t="s">
        <v>337</v>
      </c>
    </row>
    <row r="100" spans="1:25" ht="14.25" x14ac:dyDescent="0.25">
      <c r="A100" s="113" t="s">
        <v>378</v>
      </c>
      <c r="B100" s="113" t="s">
        <v>379</v>
      </c>
      <c r="C100" s="113" t="s">
        <v>57</v>
      </c>
      <c r="D100" s="28" t="s">
        <v>15</v>
      </c>
      <c r="E100" s="31">
        <v>157440</v>
      </c>
      <c r="F100" s="118">
        <v>138600</v>
      </c>
      <c r="G100" s="28">
        <v>84</v>
      </c>
      <c r="H100" s="32">
        <f t="shared" si="6"/>
        <v>1874.2857142857142</v>
      </c>
      <c r="I100" s="54">
        <f t="shared" si="5"/>
        <v>1650</v>
      </c>
      <c r="J100" s="28" t="s">
        <v>380</v>
      </c>
      <c r="K100" s="28" t="s">
        <v>105</v>
      </c>
      <c r="L100" s="28" t="s">
        <v>101</v>
      </c>
      <c r="M100" s="28"/>
      <c r="N100" s="27">
        <v>2019</v>
      </c>
      <c r="O100" s="116" t="s">
        <v>337</v>
      </c>
    </row>
    <row r="101" spans="1:25" ht="14.25" x14ac:dyDescent="0.25">
      <c r="A101" s="27" t="s">
        <v>381</v>
      </c>
      <c r="B101" s="167" t="s">
        <v>140</v>
      </c>
      <c r="C101" s="40" t="s">
        <v>21</v>
      </c>
      <c r="D101" s="41" t="s">
        <v>15</v>
      </c>
      <c r="E101" s="102">
        <v>107725</v>
      </c>
      <c r="F101" s="102">
        <v>102300</v>
      </c>
      <c r="G101" s="42">
        <v>62</v>
      </c>
      <c r="H101" s="127">
        <f t="shared" si="6"/>
        <v>1737.5</v>
      </c>
      <c r="I101" s="127">
        <f t="shared" si="5"/>
        <v>1650</v>
      </c>
      <c r="J101" s="106" t="s">
        <v>382</v>
      </c>
      <c r="K101" s="106" t="s">
        <v>100</v>
      </c>
      <c r="L101" s="106" t="s">
        <v>101</v>
      </c>
      <c r="M101" s="27"/>
      <c r="N101" s="27">
        <v>2019</v>
      </c>
      <c r="O101" s="28" t="s">
        <v>138</v>
      </c>
    </row>
    <row r="102" spans="1:25" ht="28.5" x14ac:dyDescent="0.25">
      <c r="A102" s="27" t="s">
        <v>383</v>
      </c>
      <c r="B102" s="28" t="s">
        <v>384</v>
      </c>
      <c r="C102" s="28" t="s">
        <v>26</v>
      </c>
      <c r="D102" s="28" t="s">
        <v>15</v>
      </c>
      <c r="E102" s="31">
        <v>95700.01</v>
      </c>
      <c r="F102" s="31">
        <v>75400</v>
      </c>
      <c r="G102" s="28">
        <v>58</v>
      </c>
      <c r="H102" s="31">
        <f t="shared" si="6"/>
        <v>1650.0001724137931</v>
      </c>
      <c r="I102" s="117">
        <f t="shared" si="5"/>
        <v>1300</v>
      </c>
      <c r="J102" s="28" t="s">
        <v>385</v>
      </c>
      <c r="K102" s="28" t="s">
        <v>100</v>
      </c>
      <c r="L102" s="28" t="s">
        <v>101</v>
      </c>
      <c r="M102" s="28"/>
      <c r="N102" s="27">
        <v>2019</v>
      </c>
      <c r="O102" s="97" t="s">
        <v>328</v>
      </c>
    </row>
    <row r="103" spans="1:25" ht="31.5" x14ac:dyDescent="0.25">
      <c r="A103" s="120" t="str">
        <f>"Samlet antal sager: " &amp;COUNTA(Tabel1[Sagsnr.])</f>
        <v>Samlet antal sager: 101</v>
      </c>
      <c r="B103" s="119"/>
      <c r="C103" s="176" t="s">
        <v>386</v>
      </c>
      <c r="D103" s="176"/>
      <c r="E103" s="156">
        <f>AVERAGE(E2:E102)</f>
        <v>141729.42831683171</v>
      </c>
      <c r="F103" s="156">
        <f>AVERAGE(F2:F102)</f>
        <v>124843.60683168317</v>
      </c>
      <c r="G103" s="157">
        <f>AVERAGE(G2:G102)</f>
        <v>81.683168316831683</v>
      </c>
      <c r="H103" s="156">
        <f>AVERAGE(H2:H102)</f>
        <v>1770.793680031504</v>
      </c>
      <c r="I103" s="124">
        <f>AVERAGE(I2:I102)</f>
        <v>1524.6492037098685</v>
      </c>
      <c r="J103" s="98" t="s">
        <v>387</v>
      </c>
      <c r="K103" s="98"/>
      <c r="L103" s="98"/>
      <c r="M103" s="98"/>
      <c r="N103" s="99"/>
      <c r="O103" s="100"/>
    </row>
    <row r="104" spans="1:25" s="101" customFormat="1" ht="45.75" customHeight="1" x14ac:dyDescent="0.25">
      <c r="A104" s="46"/>
      <c r="B104" s="28"/>
      <c r="C104" s="28"/>
      <c r="D104" s="28"/>
      <c r="E104" s="47"/>
      <c r="F104" s="47"/>
      <c r="G104" s="47"/>
      <c r="H104" s="47"/>
      <c r="I104" s="48"/>
      <c r="J104" s="28"/>
      <c r="K104" s="28"/>
      <c r="L104" s="28"/>
      <c r="M104" s="49"/>
      <c r="N104" s="49"/>
      <c r="O104" s="97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45.75" customHeight="1" x14ac:dyDescent="0.25">
      <c r="B105" s="55" t="s">
        <v>388</v>
      </c>
      <c r="C105" s="56">
        <f>COUNTA(Tabel1[Sagsnr.])</f>
        <v>101</v>
      </c>
      <c r="D105" s="57">
        <f>SUM(I105+N105)</f>
        <v>1</v>
      </c>
      <c r="E105" s="50"/>
      <c r="F105" s="177" t="s">
        <v>389</v>
      </c>
      <c r="G105" s="181"/>
      <c r="H105" s="123" cm="1">
        <f t="array" ref="H105">SUMPRODUCT(--(H2:H102&gt;I2:I102))</f>
        <v>72</v>
      </c>
      <c r="I105" s="68">
        <f>(H105/C105)</f>
        <v>0.71287128712871284</v>
      </c>
      <c r="J105" s="122"/>
      <c r="K105" s="177" t="s">
        <v>390</v>
      </c>
      <c r="L105" s="178"/>
      <c r="M105" s="67" cm="1">
        <f t="array" ref="M105">SUMPRODUCT(--(H1:H102=I1:I102))</f>
        <v>29</v>
      </c>
      <c r="N105" s="68">
        <f>(M105/C105)</f>
        <v>0.28712871287128711</v>
      </c>
    </row>
    <row r="106" spans="1:25" ht="50.25" customHeight="1" x14ac:dyDescent="0.25">
      <c r="B106" s="58" t="s">
        <v>391</v>
      </c>
      <c r="C106" s="59">
        <f>H103</f>
        <v>1770.793680031504</v>
      </c>
      <c r="D106" s="60" t="s">
        <v>392</v>
      </c>
      <c r="E106" s="50"/>
      <c r="F106" s="179" t="s">
        <v>391</v>
      </c>
      <c r="G106" s="180"/>
      <c r="H106" s="64" cm="1">
        <f t="array" ref="H106">AVERAGE(IF(I2:I102&lt;H2:H102,H2:H102))</f>
        <v>1826.7487911680578</v>
      </c>
      <c r="I106" s="60" t="s">
        <v>392</v>
      </c>
      <c r="J106" s="51"/>
      <c r="K106" s="179" t="s">
        <v>393</v>
      </c>
      <c r="L106" s="180"/>
      <c r="M106" s="64" cm="1">
        <f t="array" ref="M106">AVERAGE(IF(I2:I102=H2:H102,H2:H102))</f>
        <v>1631.8706454855769</v>
      </c>
      <c r="N106" s="60" t="s">
        <v>392</v>
      </c>
    </row>
    <row r="107" spans="1:25" ht="50.25" customHeight="1" x14ac:dyDescent="0.25">
      <c r="B107" s="61" t="s">
        <v>394</v>
      </c>
      <c r="C107" s="59">
        <f>I103</f>
        <v>1524.6492037098685</v>
      </c>
      <c r="D107" s="60" t="s">
        <v>392</v>
      </c>
      <c r="E107" s="50"/>
      <c r="F107" s="182" t="s">
        <v>394</v>
      </c>
      <c r="G107" s="183"/>
      <c r="H107" s="64" cm="1">
        <f t="array" ref="H107">AVERAGE(IF(H2:H102&gt;I2:I102,I2:I102))</f>
        <v>1481.462789661319</v>
      </c>
      <c r="I107" s="60" t="s">
        <v>392</v>
      </c>
      <c r="J107" s="50"/>
      <c r="K107" s="50"/>
      <c r="L107" s="50"/>
      <c r="M107" s="50"/>
      <c r="N107" s="50"/>
    </row>
    <row r="108" spans="1:25" ht="50.25" customHeight="1" x14ac:dyDescent="0.25">
      <c r="B108" s="62" t="s">
        <v>395</v>
      </c>
      <c r="C108" s="59">
        <f>(I103-H103)</f>
        <v>-246.14447632163547</v>
      </c>
      <c r="D108" s="60" t="s">
        <v>392</v>
      </c>
      <c r="E108" s="50"/>
      <c r="F108" s="182" t="s">
        <v>396</v>
      </c>
      <c r="G108" s="183"/>
      <c r="H108" s="59">
        <f>(H107-H106)</f>
        <v>-345.28600150673878</v>
      </c>
      <c r="I108" s="60" t="s">
        <v>392</v>
      </c>
      <c r="J108" s="50"/>
      <c r="K108" s="50"/>
      <c r="L108" s="50"/>
      <c r="M108" s="50"/>
      <c r="N108" s="50"/>
    </row>
    <row r="109" spans="1:25" ht="50.25" customHeight="1" x14ac:dyDescent="0.25">
      <c r="B109" s="62" t="s">
        <v>397</v>
      </c>
      <c r="C109" s="63">
        <f>(C107-C106)/C106</f>
        <v>-0.1390023462909899</v>
      </c>
      <c r="D109" s="60" t="s">
        <v>392</v>
      </c>
      <c r="E109" s="50"/>
      <c r="F109" s="182" t="s">
        <v>398</v>
      </c>
      <c r="G109" s="183"/>
      <c r="H109" s="63">
        <f>(H107-H106)/H106</f>
        <v>-0.18901668536808303</v>
      </c>
      <c r="I109" s="60" t="s">
        <v>392</v>
      </c>
      <c r="J109" s="50"/>
      <c r="K109" s="50"/>
      <c r="L109" s="50"/>
      <c r="M109" s="51"/>
      <c r="N109" s="51"/>
    </row>
    <row r="110" spans="1:25" ht="50.25" customHeight="1" x14ac:dyDescent="0.25"/>
  </sheetData>
  <sheetProtection sort="0"/>
  <mergeCells count="8">
    <mergeCell ref="C103:D103"/>
    <mergeCell ref="K105:L105"/>
    <mergeCell ref="K106:L106"/>
    <mergeCell ref="F105:G105"/>
    <mergeCell ref="F109:G109"/>
    <mergeCell ref="F106:G106"/>
    <mergeCell ref="F107:G107"/>
    <mergeCell ref="F108:G108"/>
  </mergeCells>
  <pageMargins left="0.25" right="0.25" top="0.75" bottom="0.75" header="0.3" footer="0.3"/>
  <pageSetup paperSize="9" scale="4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659C-09E0-45D9-89BB-B7E561B81B12}">
  <sheetPr>
    <pageSetUpPr fitToPage="1"/>
  </sheetPr>
  <dimension ref="A1:O254"/>
  <sheetViews>
    <sheetView zoomScale="115" zoomScaleNormal="115" workbookViewId="0">
      <pane ySplit="1" topLeftCell="A2" activePane="bottomLeft" state="frozen"/>
      <selection pane="bottomLeft" activeCell="J17" sqref="J17"/>
    </sheetView>
  </sheetViews>
  <sheetFormatPr defaultColWidth="27.140625" defaultRowHeight="15" x14ac:dyDescent="0.25"/>
  <cols>
    <col min="1" max="1" width="16" customWidth="1"/>
    <col min="2" max="2" width="34.85546875" customWidth="1"/>
    <col min="3" max="3" width="15.7109375" bestFit="1" customWidth="1"/>
    <col min="4" max="4" width="11.85546875" bestFit="1" customWidth="1"/>
    <col min="5" max="5" width="20" style="8" bestFit="1" customWidth="1"/>
    <col min="6" max="6" width="19.42578125" style="8" customWidth="1"/>
    <col min="7" max="7" width="10" style="36" customWidth="1"/>
    <col min="8" max="8" width="17.7109375" style="8" customWidth="1"/>
    <col min="9" max="9" width="22" style="8" customWidth="1"/>
    <col min="10" max="10" width="23.5703125" customWidth="1"/>
    <col min="11" max="11" width="28.85546875" customWidth="1"/>
    <col min="12" max="12" width="14.7109375" customWidth="1"/>
    <col min="13" max="13" width="23.85546875" bestFit="1" customWidth="1"/>
    <col min="14" max="14" width="22.7109375" style="26" bestFit="1" customWidth="1"/>
    <col min="15" max="15" width="21.7109375" bestFit="1" customWidth="1"/>
  </cols>
  <sheetData>
    <row r="1" spans="1:15" s="71" customFormat="1" ht="31.5" x14ac:dyDescent="0.25">
      <c r="A1" s="69" t="s">
        <v>0</v>
      </c>
      <c r="B1" s="69" t="s">
        <v>1</v>
      </c>
      <c r="C1" s="69" t="s">
        <v>2</v>
      </c>
      <c r="D1" s="69" t="s">
        <v>3</v>
      </c>
      <c r="E1" s="69" t="s">
        <v>87</v>
      </c>
      <c r="F1" s="170" t="s">
        <v>88</v>
      </c>
      <c r="G1" s="70" t="s">
        <v>89</v>
      </c>
      <c r="H1" s="170" t="s">
        <v>90</v>
      </c>
      <c r="I1" s="170" t="s">
        <v>91</v>
      </c>
      <c r="J1" s="170" t="s">
        <v>399</v>
      </c>
      <c r="K1" s="170" t="s">
        <v>93</v>
      </c>
      <c r="L1" s="170" t="s">
        <v>400</v>
      </c>
      <c r="M1" s="69" t="s">
        <v>10</v>
      </c>
      <c r="N1" s="69" t="s">
        <v>401</v>
      </c>
      <c r="O1" s="69" t="s">
        <v>11</v>
      </c>
    </row>
    <row r="2" spans="1:15" ht="57" x14ac:dyDescent="0.25">
      <c r="A2" s="27" t="s">
        <v>402</v>
      </c>
      <c r="B2" s="40" t="s">
        <v>403</v>
      </c>
      <c r="C2" s="40" t="s">
        <v>57</v>
      </c>
      <c r="D2" s="41" t="s">
        <v>15</v>
      </c>
      <c r="E2" s="102">
        <v>102000</v>
      </c>
      <c r="F2" s="102">
        <v>102000</v>
      </c>
      <c r="G2" s="42">
        <v>59</v>
      </c>
      <c r="H2" s="104">
        <f t="shared" ref="H2:H36" si="0">SUM(E2/G2)</f>
        <v>1728.8135593220338</v>
      </c>
      <c r="I2" s="104">
        <f t="shared" ref="I2:I36" si="1">SUM(F2/G2)</f>
        <v>1728.8135593220338</v>
      </c>
      <c r="J2" s="26" t="s">
        <v>336</v>
      </c>
      <c r="K2" s="26" t="s">
        <v>105</v>
      </c>
      <c r="L2" s="26" t="s">
        <v>101</v>
      </c>
      <c r="M2" s="27" t="s">
        <v>404</v>
      </c>
      <c r="N2" s="27" t="s">
        <v>405</v>
      </c>
      <c r="O2" s="28" t="s">
        <v>18</v>
      </c>
    </row>
    <row r="3" spans="1:15" x14ac:dyDescent="0.25">
      <c r="A3" s="27" t="s">
        <v>406</v>
      </c>
      <c r="B3" s="40" t="s">
        <v>132</v>
      </c>
      <c r="C3" s="40" t="s">
        <v>21</v>
      </c>
      <c r="D3" s="41" t="s">
        <v>15</v>
      </c>
      <c r="E3" s="102">
        <v>296687.28000000003</v>
      </c>
      <c r="F3" s="102">
        <v>296687.28000000003</v>
      </c>
      <c r="G3" s="42">
        <v>183</v>
      </c>
      <c r="H3" s="104">
        <f t="shared" si="0"/>
        <v>1621.241967213115</v>
      </c>
      <c r="I3" s="104">
        <f t="shared" si="1"/>
        <v>1621.241967213115</v>
      </c>
      <c r="J3" s="26" t="s">
        <v>187</v>
      </c>
      <c r="K3" s="26" t="s">
        <v>105</v>
      </c>
      <c r="L3" s="26" t="s">
        <v>101</v>
      </c>
      <c r="M3" s="27"/>
      <c r="N3" s="27" t="s">
        <v>407</v>
      </c>
      <c r="O3" s="28" t="s">
        <v>64</v>
      </c>
    </row>
    <row r="4" spans="1:15" ht="28.5" x14ac:dyDescent="0.25">
      <c r="A4" s="27" t="s">
        <v>408</v>
      </c>
      <c r="B4" s="40" t="s">
        <v>409</v>
      </c>
      <c r="C4" s="40" t="s">
        <v>14</v>
      </c>
      <c r="D4" s="41" t="s">
        <v>15</v>
      </c>
      <c r="E4" s="102">
        <v>138000</v>
      </c>
      <c r="F4" s="102">
        <v>88000</v>
      </c>
      <c r="G4" s="42">
        <v>55</v>
      </c>
      <c r="H4" s="104">
        <f t="shared" si="0"/>
        <v>2509.090909090909</v>
      </c>
      <c r="I4" s="104">
        <f t="shared" si="1"/>
        <v>1600</v>
      </c>
      <c r="J4" s="26" t="s">
        <v>187</v>
      </c>
      <c r="K4" s="26" t="s">
        <v>105</v>
      </c>
      <c r="L4" s="26" t="s">
        <v>101</v>
      </c>
      <c r="M4" s="27"/>
      <c r="N4" s="27" t="s">
        <v>407</v>
      </c>
      <c r="O4" s="27" t="s">
        <v>257</v>
      </c>
    </row>
    <row r="5" spans="1:15" ht="28.5" x14ac:dyDescent="0.25">
      <c r="A5" s="27" t="s">
        <v>410</v>
      </c>
      <c r="B5" s="40" t="s">
        <v>411</v>
      </c>
      <c r="C5" s="40" t="s">
        <v>14</v>
      </c>
      <c r="D5" s="41" t="s">
        <v>15</v>
      </c>
      <c r="E5" s="102">
        <v>179400</v>
      </c>
      <c r="F5" s="102">
        <v>155000</v>
      </c>
      <c r="G5" s="43">
        <v>100</v>
      </c>
      <c r="H5" s="104">
        <f t="shared" si="0"/>
        <v>1794</v>
      </c>
      <c r="I5" s="104">
        <f t="shared" si="1"/>
        <v>1550</v>
      </c>
      <c r="J5" s="26" t="s">
        <v>412</v>
      </c>
      <c r="K5" s="26" t="s">
        <v>105</v>
      </c>
      <c r="L5" s="26" t="s">
        <v>110</v>
      </c>
      <c r="M5" s="27" t="s">
        <v>413</v>
      </c>
      <c r="N5" s="27" t="s">
        <v>407</v>
      </c>
      <c r="O5" s="27" t="s">
        <v>414</v>
      </c>
    </row>
    <row r="6" spans="1:15" ht="28.5" x14ac:dyDescent="0.25">
      <c r="A6" s="27" t="s">
        <v>415</v>
      </c>
      <c r="B6" s="40" t="s">
        <v>416</v>
      </c>
      <c r="C6" s="40" t="s">
        <v>246</v>
      </c>
      <c r="D6" s="41" t="s">
        <v>15</v>
      </c>
      <c r="E6" s="102">
        <v>186000</v>
      </c>
      <c r="F6" s="102">
        <v>157500</v>
      </c>
      <c r="G6" s="42">
        <v>105</v>
      </c>
      <c r="H6" s="104">
        <f t="shared" si="0"/>
        <v>1771.4285714285713</v>
      </c>
      <c r="I6" s="104">
        <f t="shared" si="1"/>
        <v>1500</v>
      </c>
      <c r="J6" s="26" t="s">
        <v>417</v>
      </c>
      <c r="K6" s="26" t="s">
        <v>100</v>
      </c>
      <c r="L6" s="26" t="s">
        <v>101</v>
      </c>
      <c r="M6" s="27"/>
      <c r="N6" s="27" t="s">
        <v>418</v>
      </c>
      <c r="O6" s="27" t="s">
        <v>127</v>
      </c>
    </row>
    <row r="7" spans="1:15" ht="28.5" x14ac:dyDescent="0.25">
      <c r="A7" s="27" t="s">
        <v>419</v>
      </c>
      <c r="B7" s="40" t="s">
        <v>420</v>
      </c>
      <c r="C7" s="40" t="s">
        <v>36</v>
      </c>
      <c r="D7" s="41" t="s">
        <v>15</v>
      </c>
      <c r="E7" s="102">
        <v>146400</v>
      </c>
      <c r="F7" s="102">
        <v>69000</v>
      </c>
      <c r="G7" s="42">
        <v>46</v>
      </c>
      <c r="H7" s="104">
        <f t="shared" si="0"/>
        <v>3182.608695652174</v>
      </c>
      <c r="I7" s="104">
        <f t="shared" si="1"/>
        <v>1500</v>
      </c>
      <c r="J7" s="26" t="s">
        <v>421</v>
      </c>
      <c r="K7" s="26" t="s">
        <v>105</v>
      </c>
      <c r="L7" s="26" t="s">
        <v>101</v>
      </c>
      <c r="M7" s="27"/>
      <c r="N7" s="27" t="s">
        <v>407</v>
      </c>
      <c r="O7" s="28" t="s">
        <v>130</v>
      </c>
    </row>
    <row r="8" spans="1:15" x14ac:dyDescent="0.25">
      <c r="A8" s="27" t="s">
        <v>422</v>
      </c>
      <c r="B8" s="40" t="s">
        <v>423</v>
      </c>
      <c r="C8" s="40" t="s">
        <v>14</v>
      </c>
      <c r="D8" s="41" t="s">
        <v>15</v>
      </c>
      <c r="E8" s="102">
        <v>240000</v>
      </c>
      <c r="F8" s="102">
        <v>152250</v>
      </c>
      <c r="G8" s="42">
        <v>105</v>
      </c>
      <c r="H8" s="104">
        <f t="shared" si="0"/>
        <v>2285.7142857142858</v>
      </c>
      <c r="I8" s="104">
        <f t="shared" si="1"/>
        <v>1450</v>
      </c>
      <c r="J8" s="26" t="s">
        <v>424</v>
      </c>
      <c r="K8" s="26" t="s">
        <v>105</v>
      </c>
      <c r="L8" s="26" t="s">
        <v>101</v>
      </c>
      <c r="M8" s="27"/>
      <c r="N8" s="27" t="s">
        <v>407</v>
      </c>
      <c r="O8" s="28" t="s">
        <v>328</v>
      </c>
    </row>
    <row r="9" spans="1:15" x14ac:dyDescent="0.25">
      <c r="A9" s="27" t="s">
        <v>425</v>
      </c>
      <c r="B9" s="40" t="s">
        <v>426</v>
      </c>
      <c r="C9" s="40" t="s">
        <v>26</v>
      </c>
      <c r="D9" s="41" t="s">
        <v>15</v>
      </c>
      <c r="E9" s="125">
        <v>222000</v>
      </c>
      <c r="F9" s="125">
        <v>162400</v>
      </c>
      <c r="G9" s="126">
        <v>112</v>
      </c>
      <c r="H9" s="104">
        <f t="shared" si="0"/>
        <v>1982.1428571428571</v>
      </c>
      <c r="I9" s="104">
        <f t="shared" si="1"/>
        <v>1450</v>
      </c>
      <c r="J9" s="106" t="s">
        <v>187</v>
      </c>
      <c r="K9" s="106" t="s">
        <v>105</v>
      </c>
      <c r="L9" s="106" t="s">
        <v>101</v>
      </c>
      <c r="M9" s="27"/>
      <c r="N9" s="27" t="s">
        <v>407</v>
      </c>
      <c r="O9" s="28" t="s">
        <v>427</v>
      </c>
    </row>
    <row r="10" spans="1:15" x14ac:dyDescent="0.25">
      <c r="A10" s="27" t="s">
        <v>428</v>
      </c>
      <c r="B10" s="40" t="s">
        <v>429</v>
      </c>
      <c r="C10" s="40" t="s">
        <v>183</v>
      </c>
      <c r="D10" s="41" t="s">
        <v>15</v>
      </c>
      <c r="E10" s="102">
        <v>158568</v>
      </c>
      <c r="F10" s="102">
        <v>158568</v>
      </c>
      <c r="G10" s="42">
        <v>110</v>
      </c>
      <c r="H10" s="104">
        <f t="shared" si="0"/>
        <v>1441.5272727272727</v>
      </c>
      <c r="I10" s="104">
        <f t="shared" si="1"/>
        <v>1441.5272727272727</v>
      </c>
      <c r="J10" s="26" t="s">
        <v>179</v>
      </c>
      <c r="K10" s="26" t="s">
        <v>105</v>
      </c>
      <c r="L10" s="26" t="s">
        <v>110</v>
      </c>
      <c r="M10" s="27" t="s">
        <v>430</v>
      </c>
      <c r="N10" s="27" t="s">
        <v>407</v>
      </c>
      <c r="O10" s="28" t="s">
        <v>431</v>
      </c>
    </row>
    <row r="11" spans="1:15" ht="28.5" x14ac:dyDescent="0.25">
      <c r="A11" s="27" t="s">
        <v>432</v>
      </c>
      <c r="B11" s="40" t="s">
        <v>433</v>
      </c>
      <c r="C11" s="40" t="s">
        <v>21</v>
      </c>
      <c r="D11" s="41" t="s">
        <v>15</v>
      </c>
      <c r="E11" s="102">
        <v>108000</v>
      </c>
      <c r="F11" s="102">
        <v>53200</v>
      </c>
      <c r="G11" s="42">
        <v>38</v>
      </c>
      <c r="H11" s="104">
        <f t="shared" si="0"/>
        <v>2842.1052631578946</v>
      </c>
      <c r="I11" s="104">
        <f t="shared" si="1"/>
        <v>1400</v>
      </c>
      <c r="J11" s="26" t="s">
        <v>434</v>
      </c>
      <c r="K11" s="26" t="s">
        <v>105</v>
      </c>
      <c r="L11" s="26" t="s">
        <v>101</v>
      </c>
      <c r="M11" s="27"/>
      <c r="N11" s="27" t="s">
        <v>418</v>
      </c>
      <c r="O11" s="27" t="s">
        <v>107</v>
      </c>
    </row>
    <row r="12" spans="1:15" x14ac:dyDescent="0.25">
      <c r="A12" s="27" t="s">
        <v>435</v>
      </c>
      <c r="B12" s="40" t="s">
        <v>436</v>
      </c>
      <c r="C12" s="40" t="s">
        <v>246</v>
      </c>
      <c r="D12" s="41" t="s">
        <v>15</v>
      </c>
      <c r="E12" s="102">
        <v>116400</v>
      </c>
      <c r="F12" s="102">
        <v>76950</v>
      </c>
      <c r="G12" s="42">
        <v>57</v>
      </c>
      <c r="H12" s="104">
        <f t="shared" si="0"/>
        <v>2042.1052631578948</v>
      </c>
      <c r="I12" s="104">
        <f t="shared" si="1"/>
        <v>1350</v>
      </c>
      <c r="J12" s="26" t="s">
        <v>437</v>
      </c>
      <c r="K12" s="26" t="s">
        <v>100</v>
      </c>
      <c r="L12" s="26" t="s">
        <v>101</v>
      </c>
      <c r="M12" s="27"/>
      <c r="N12" s="27" t="s">
        <v>418</v>
      </c>
      <c r="O12" s="28" t="s">
        <v>438</v>
      </c>
    </row>
    <row r="13" spans="1:15" ht="28.5" x14ac:dyDescent="0.25">
      <c r="A13" s="27" t="s">
        <v>439</v>
      </c>
      <c r="B13" s="40" t="s">
        <v>440</v>
      </c>
      <c r="C13" s="40" t="s">
        <v>246</v>
      </c>
      <c r="D13" s="41" t="s">
        <v>15</v>
      </c>
      <c r="E13" s="102">
        <v>96000</v>
      </c>
      <c r="F13" s="102">
        <v>82350</v>
      </c>
      <c r="G13" s="42">
        <v>61</v>
      </c>
      <c r="H13" s="104">
        <f t="shared" si="0"/>
        <v>1573.7704918032787</v>
      </c>
      <c r="I13" s="104">
        <f t="shared" si="1"/>
        <v>1350</v>
      </c>
      <c r="J13" s="26" t="s">
        <v>104</v>
      </c>
      <c r="K13" s="26" t="s">
        <v>105</v>
      </c>
      <c r="L13" s="26" t="s">
        <v>110</v>
      </c>
      <c r="M13" s="27" t="s">
        <v>441</v>
      </c>
      <c r="N13" s="27" t="s">
        <v>418</v>
      </c>
      <c r="O13" s="28" t="s">
        <v>442</v>
      </c>
    </row>
    <row r="14" spans="1:15" x14ac:dyDescent="0.25">
      <c r="A14" s="27" t="s">
        <v>443</v>
      </c>
      <c r="B14" s="40" t="s">
        <v>444</v>
      </c>
      <c r="C14" s="40" t="s">
        <v>57</v>
      </c>
      <c r="D14" s="41" t="s">
        <v>15</v>
      </c>
      <c r="E14" s="102">
        <v>112800</v>
      </c>
      <c r="F14" s="102">
        <v>67500</v>
      </c>
      <c r="G14" s="42">
        <v>50</v>
      </c>
      <c r="H14" s="104">
        <f t="shared" si="0"/>
        <v>2256</v>
      </c>
      <c r="I14" s="104">
        <f t="shared" si="1"/>
        <v>1350</v>
      </c>
      <c r="J14" s="26" t="s">
        <v>445</v>
      </c>
      <c r="K14" s="26" t="s">
        <v>105</v>
      </c>
      <c r="L14" s="26" t="s">
        <v>101</v>
      </c>
      <c r="M14" s="27"/>
      <c r="N14" s="27" t="s">
        <v>407</v>
      </c>
      <c r="O14" s="28" t="s">
        <v>446</v>
      </c>
    </row>
    <row r="15" spans="1:15" ht="57" x14ac:dyDescent="0.25">
      <c r="A15" s="27" t="s">
        <v>447</v>
      </c>
      <c r="B15" s="40" t="s">
        <v>448</v>
      </c>
      <c r="C15" s="40" t="s">
        <v>21</v>
      </c>
      <c r="D15" s="41" t="s">
        <v>15</v>
      </c>
      <c r="E15" s="102">
        <v>165367</v>
      </c>
      <c r="F15" s="102">
        <v>120000</v>
      </c>
      <c r="G15" s="42">
        <v>96</v>
      </c>
      <c r="H15" s="104">
        <f t="shared" si="0"/>
        <v>1722.5729166666667</v>
      </c>
      <c r="I15" s="104">
        <f t="shared" si="1"/>
        <v>1250</v>
      </c>
      <c r="J15" s="26" t="s">
        <v>449</v>
      </c>
      <c r="K15" s="26" t="s">
        <v>105</v>
      </c>
      <c r="L15" s="26" t="s">
        <v>101</v>
      </c>
      <c r="M15" s="27"/>
      <c r="N15" s="27" t="s">
        <v>450</v>
      </c>
      <c r="O15" s="28" t="s">
        <v>195</v>
      </c>
    </row>
    <row r="16" spans="1:15" ht="57" x14ac:dyDescent="0.25">
      <c r="A16" s="27" t="s">
        <v>451</v>
      </c>
      <c r="B16" s="40" t="s">
        <v>452</v>
      </c>
      <c r="C16" s="40" t="s">
        <v>246</v>
      </c>
      <c r="D16" s="41" t="s">
        <v>15</v>
      </c>
      <c r="E16" s="102">
        <v>78000</v>
      </c>
      <c r="F16" s="102">
        <v>41250</v>
      </c>
      <c r="G16" s="42">
        <v>33</v>
      </c>
      <c r="H16" s="104">
        <f t="shared" si="0"/>
        <v>2363.6363636363635</v>
      </c>
      <c r="I16" s="104">
        <f t="shared" si="1"/>
        <v>1250</v>
      </c>
      <c r="J16" s="26" t="s">
        <v>122</v>
      </c>
      <c r="K16" s="26" t="s">
        <v>100</v>
      </c>
      <c r="L16" s="26" t="s">
        <v>101</v>
      </c>
      <c r="M16" s="27"/>
      <c r="N16" s="27" t="s">
        <v>453</v>
      </c>
      <c r="O16" s="28" t="s">
        <v>248</v>
      </c>
    </row>
    <row r="17" spans="1:15" ht="28.5" x14ac:dyDescent="0.25">
      <c r="A17" s="27" t="s">
        <v>454</v>
      </c>
      <c r="B17" s="167" t="s">
        <v>455</v>
      </c>
      <c r="C17" s="40" t="s">
        <v>21</v>
      </c>
      <c r="D17" s="41" t="s">
        <v>15</v>
      </c>
      <c r="E17" s="102">
        <v>135522.01999999999</v>
      </c>
      <c r="F17" s="102">
        <v>86400</v>
      </c>
      <c r="G17" s="42">
        <v>72</v>
      </c>
      <c r="H17" s="127">
        <f t="shared" si="0"/>
        <v>1882.2502777777777</v>
      </c>
      <c r="I17" s="127">
        <f t="shared" si="1"/>
        <v>1200</v>
      </c>
      <c r="J17" s="106" t="s">
        <v>152</v>
      </c>
      <c r="K17" s="106" t="s">
        <v>105</v>
      </c>
      <c r="L17" s="106" t="s">
        <v>101</v>
      </c>
      <c r="M17" s="27"/>
      <c r="N17" s="27" t="s">
        <v>456</v>
      </c>
      <c r="O17" s="28" t="s">
        <v>457</v>
      </c>
    </row>
    <row r="18" spans="1:15" ht="42.75" x14ac:dyDescent="0.25">
      <c r="A18" s="27" t="s">
        <v>458</v>
      </c>
      <c r="B18" s="40" t="s">
        <v>459</v>
      </c>
      <c r="C18" s="40" t="s">
        <v>14</v>
      </c>
      <c r="D18" s="41" t="s">
        <v>15</v>
      </c>
      <c r="E18" s="102">
        <v>288000</v>
      </c>
      <c r="F18" s="102">
        <v>204000</v>
      </c>
      <c r="G18" s="42">
        <v>170</v>
      </c>
      <c r="H18" s="104">
        <f t="shared" si="0"/>
        <v>1694.1176470588234</v>
      </c>
      <c r="I18" s="104">
        <f t="shared" si="1"/>
        <v>1200</v>
      </c>
      <c r="J18" s="26" t="s">
        <v>165</v>
      </c>
      <c r="K18" s="26" t="s">
        <v>105</v>
      </c>
      <c r="L18" s="26" t="s">
        <v>101</v>
      </c>
      <c r="M18" s="27"/>
      <c r="N18" s="27" t="s">
        <v>460</v>
      </c>
      <c r="O18" s="28" t="s">
        <v>461</v>
      </c>
    </row>
    <row r="19" spans="1:15" ht="42.75" x14ac:dyDescent="0.25">
      <c r="A19" s="27" t="s">
        <v>462</v>
      </c>
      <c r="B19" s="40" t="s">
        <v>56</v>
      </c>
      <c r="C19" s="40" t="s">
        <v>57</v>
      </c>
      <c r="D19" s="41" t="s">
        <v>15</v>
      </c>
      <c r="E19" s="102">
        <v>167400</v>
      </c>
      <c r="F19" s="102">
        <v>134400</v>
      </c>
      <c r="G19" s="42">
        <v>112</v>
      </c>
      <c r="H19" s="104">
        <f t="shared" si="0"/>
        <v>1494.6428571428571</v>
      </c>
      <c r="I19" s="104">
        <f t="shared" si="1"/>
        <v>1200</v>
      </c>
      <c r="J19" s="26" t="s">
        <v>463</v>
      </c>
      <c r="K19" s="26" t="s">
        <v>105</v>
      </c>
      <c r="L19" s="26" t="s">
        <v>110</v>
      </c>
      <c r="M19" s="27" t="s">
        <v>464</v>
      </c>
      <c r="N19" s="27" t="s">
        <v>456</v>
      </c>
      <c r="O19" s="27" t="s">
        <v>465</v>
      </c>
    </row>
    <row r="20" spans="1:15" ht="57" x14ac:dyDescent="0.25">
      <c r="A20" s="27" t="s">
        <v>466</v>
      </c>
      <c r="B20" s="167" t="s">
        <v>236</v>
      </c>
      <c r="C20" s="40" t="s">
        <v>467</v>
      </c>
      <c r="D20" s="41" t="s">
        <v>15</v>
      </c>
      <c r="E20" s="102">
        <v>93600</v>
      </c>
      <c r="F20" s="102">
        <v>39600</v>
      </c>
      <c r="G20" s="42">
        <v>35</v>
      </c>
      <c r="H20" s="127">
        <f t="shared" si="0"/>
        <v>2674.2857142857142</v>
      </c>
      <c r="I20" s="127">
        <f t="shared" si="1"/>
        <v>1131.4285714285713</v>
      </c>
      <c r="J20" s="106" t="s">
        <v>468</v>
      </c>
      <c r="K20" s="106" t="s">
        <v>105</v>
      </c>
      <c r="L20" s="106" t="s">
        <v>101</v>
      </c>
      <c r="M20" s="27"/>
      <c r="N20" s="27" t="s">
        <v>469</v>
      </c>
      <c r="O20" s="28" t="s">
        <v>337</v>
      </c>
    </row>
    <row r="21" spans="1:15" x14ac:dyDescent="0.25">
      <c r="A21" s="27" t="s">
        <v>470</v>
      </c>
      <c r="B21" s="40" t="s">
        <v>471</v>
      </c>
      <c r="C21" s="40" t="s">
        <v>26</v>
      </c>
      <c r="D21" s="41" t="s">
        <v>15</v>
      </c>
      <c r="E21" s="102">
        <v>62380.82</v>
      </c>
      <c r="F21" s="102">
        <v>30000</v>
      </c>
      <c r="G21" s="28">
        <v>27</v>
      </c>
      <c r="H21" s="104">
        <f t="shared" si="0"/>
        <v>2310.4007407407407</v>
      </c>
      <c r="I21" s="104">
        <f t="shared" si="1"/>
        <v>1111.1111111111111</v>
      </c>
      <c r="J21" s="26" t="s">
        <v>472</v>
      </c>
      <c r="K21" s="26" t="s">
        <v>105</v>
      </c>
      <c r="L21" s="26" t="s">
        <v>101</v>
      </c>
      <c r="M21" s="27"/>
      <c r="N21" s="27" t="s">
        <v>456</v>
      </c>
      <c r="O21" s="28" t="s">
        <v>18</v>
      </c>
    </row>
    <row r="22" spans="1:15" ht="28.5" x14ac:dyDescent="0.25">
      <c r="A22" s="27" t="s">
        <v>473</v>
      </c>
      <c r="B22" s="167" t="s">
        <v>129</v>
      </c>
      <c r="C22" s="40" t="s">
        <v>21</v>
      </c>
      <c r="D22" s="41" t="s">
        <v>15</v>
      </c>
      <c r="E22" s="102">
        <v>146247.81</v>
      </c>
      <c r="F22" s="102">
        <v>66000</v>
      </c>
      <c r="G22" s="42">
        <v>60</v>
      </c>
      <c r="H22" s="127">
        <f t="shared" si="0"/>
        <v>2437.4634999999998</v>
      </c>
      <c r="I22" s="127">
        <f t="shared" si="1"/>
        <v>1100</v>
      </c>
      <c r="J22" s="106" t="s">
        <v>99</v>
      </c>
      <c r="K22" s="106" t="s">
        <v>105</v>
      </c>
      <c r="L22" s="106" t="s">
        <v>101</v>
      </c>
      <c r="M22" s="27"/>
      <c r="N22" s="27" t="s">
        <v>474</v>
      </c>
      <c r="O22" s="28" t="s">
        <v>169</v>
      </c>
    </row>
    <row r="23" spans="1:15" ht="57" x14ac:dyDescent="0.25">
      <c r="A23" s="27" t="s">
        <v>475</v>
      </c>
      <c r="B23" s="40" t="s">
        <v>476</v>
      </c>
      <c r="C23" s="40" t="s">
        <v>183</v>
      </c>
      <c r="D23" s="41" t="s">
        <v>15</v>
      </c>
      <c r="E23" s="102">
        <v>117600</v>
      </c>
      <c r="F23" s="102">
        <v>64900</v>
      </c>
      <c r="G23" s="42">
        <v>59</v>
      </c>
      <c r="H23" s="104">
        <f t="shared" si="0"/>
        <v>1993.2203389830509</v>
      </c>
      <c r="I23" s="104">
        <f t="shared" si="1"/>
        <v>1100</v>
      </c>
      <c r="J23" s="26" t="s">
        <v>320</v>
      </c>
      <c r="K23" s="26" t="s">
        <v>105</v>
      </c>
      <c r="L23" s="26" t="s">
        <v>101</v>
      </c>
      <c r="M23" s="27"/>
      <c r="N23" s="27" t="s">
        <v>477</v>
      </c>
      <c r="O23" s="28" t="s">
        <v>180</v>
      </c>
    </row>
    <row r="24" spans="1:15" ht="57" x14ac:dyDescent="0.25">
      <c r="A24" s="27" t="s">
        <v>478</v>
      </c>
      <c r="B24" s="40" t="s">
        <v>479</v>
      </c>
      <c r="C24" s="40" t="s">
        <v>14</v>
      </c>
      <c r="D24" s="41" t="s">
        <v>15</v>
      </c>
      <c r="E24" s="102">
        <v>288000</v>
      </c>
      <c r="F24" s="102">
        <v>212300</v>
      </c>
      <c r="G24" s="42">
        <v>193</v>
      </c>
      <c r="H24" s="104">
        <f t="shared" si="0"/>
        <v>1492.2279792746115</v>
      </c>
      <c r="I24" s="104">
        <f t="shared" si="1"/>
        <v>1100</v>
      </c>
      <c r="J24" s="26" t="s">
        <v>187</v>
      </c>
      <c r="K24" s="26" t="s">
        <v>105</v>
      </c>
      <c r="L24" s="26" t="s">
        <v>110</v>
      </c>
      <c r="M24" s="27" t="s">
        <v>480</v>
      </c>
      <c r="N24" s="27" t="s">
        <v>477</v>
      </c>
      <c r="O24" s="28" t="s">
        <v>438</v>
      </c>
    </row>
    <row r="25" spans="1:15" ht="42.75" x14ac:dyDescent="0.25">
      <c r="A25" s="27" t="s">
        <v>481</v>
      </c>
      <c r="B25" s="40" t="s">
        <v>482</v>
      </c>
      <c r="C25" s="40" t="s">
        <v>21</v>
      </c>
      <c r="D25" s="41" t="s">
        <v>15</v>
      </c>
      <c r="E25" s="102">
        <v>123600</v>
      </c>
      <c r="F25" s="102">
        <v>52000</v>
      </c>
      <c r="G25" s="42">
        <v>52</v>
      </c>
      <c r="H25" s="104">
        <f t="shared" si="0"/>
        <v>2376.9230769230771</v>
      </c>
      <c r="I25" s="104">
        <f t="shared" si="1"/>
        <v>1000</v>
      </c>
      <c r="J25" s="26" t="s">
        <v>483</v>
      </c>
      <c r="K25" s="26" t="s">
        <v>105</v>
      </c>
      <c r="L25" s="26" t="s">
        <v>101</v>
      </c>
      <c r="M25" s="27"/>
      <c r="N25" s="27" t="s">
        <v>484</v>
      </c>
      <c r="O25" s="27" t="s">
        <v>107</v>
      </c>
    </row>
    <row r="26" spans="1:15" ht="42.75" x14ac:dyDescent="0.25">
      <c r="A26" s="27" t="s">
        <v>485</v>
      </c>
      <c r="B26" s="40" t="s">
        <v>482</v>
      </c>
      <c r="C26" s="40" t="s">
        <v>21</v>
      </c>
      <c r="D26" s="41" t="s">
        <v>15</v>
      </c>
      <c r="E26" s="102">
        <v>135600</v>
      </c>
      <c r="F26" s="102">
        <v>52000</v>
      </c>
      <c r="G26" s="42">
        <v>52</v>
      </c>
      <c r="H26" s="104">
        <f t="shared" si="0"/>
        <v>2607.6923076923076</v>
      </c>
      <c r="I26" s="104">
        <f t="shared" si="1"/>
        <v>1000</v>
      </c>
      <c r="J26" s="26" t="s">
        <v>486</v>
      </c>
      <c r="K26" s="26" t="s">
        <v>105</v>
      </c>
      <c r="L26" s="26" t="s">
        <v>101</v>
      </c>
      <c r="M26" s="27"/>
      <c r="N26" s="27" t="s">
        <v>484</v>
      </c>
      <c r="O26" s="27" t="s">
        <v>254</v>
      </c>
    </row>
    <row r="27" spans="1:15" x14ac:dyDescent="0.25">
      <c r="A27" s="27" t="s">
        <v>487</v>
      </c>
      <c r="B27" s="40" t="s">
        <v>488</v>
      </c>
      <c r="C27" s="40" t="s">
        <v>14</v>
      </c>
      <c r="D27" s="41" t="s">
        <v>15</v>
      </c>
      <c r="E27" s="102">
        <v>125880</v>
      </c>
      <c r="F27" s="102">
        <v>65000</v>
      </c>
      <c r="G27" s="42">
        <v>65</v>
      </c>
      <c r="H27" s="104">
        <f t="shared" si="0"/>
        <v>1936.6153846153845</v>
      </c>
      <c r="I27" s="104">
        <f t="shared" si="1"/>
        <v>1000</v>
      </c>
      <c r="J27" s="26" t="s">
        <v>104</v>
      </c>
      <c r="K27" s="26" t="s">
        <v>105</v>
      </c>
      <c r="L27" s="26" t="s">
        <v>101</v>
      </c>
      <c r="M27" s="27"/>
      <c r="N27" s="27" t="s">
        <v>456</v>
      </c>
      <c r="O27" s="28" t="s">
        <v>130</v>
      </c>
    </row>
    <row r="28" spans="1:15" ht="28.5" x14ac:dyDescent="0.25">
      <c r="A28" s="27" t="s">
        <v>489</v>
      </c>
      <c r="B28" s="40" t="s">
        <v>490</v>
      </c>
      <c r="C28" s="40" t="s">
        <v>26</v>
      </c>
      <c r="D28" s="41" t="s">
        <v>15</v>
      </c>
      <c r="E28" s="102">
        <v>96000</v>
      </c>
      <c r="F28" s="102">
        <v>61000</v>
      </c>
      <c r="G28" s="42">
        <v>61</v>
      </c>
      <c r="H28" s="104">
        <f t="shared" si="0"/>
        <v>1573.7704918032787</v>
      </c>
      <c r="I28" s="104">
        <f t="shared" si="1"/>
        <v>1000</v>
      </c>
      <c r="J28" s="26" t="s">
        <v>16</v>
      </c>
      <c r="K28" s="26" t="s">
        <v>105</v>
      </c>
      <c r="L28" s="26" t="s">
        <v>110</v>
      </c>
      <c r="M28" s="27" t="s">
        <v>491</v>
      </c>
      <c r="N28" s="27" t="s">
        <v>418</v>
      </c>
      <c r="O28" s="28" t="s">
        <v>130</v>
      </c>
    </row>
    <row r="29" spans="1:15" ht="71.25" x14ac:dyDescent="0.25">
      <c r="A29" s="27" t="s">
        <v>492</v>
      </c>
      <c r="B29" s="40" t="s">
        <v>493</v>
      </c>
      <c r="C29" s="40" t="s">
        <v>183</v>
      </c>
      <c r="D29" s="41" t="s">
        <v>15</v>
      </c>
      <c r="E29" s="102">
        <v>258000</v>
      </c>
      <c r="F29" s="102">
        <v>143000</v>
      </c>
      <c r="G29" s="42">
        <v>143</v>
      </c>
      <c r="H29" s="104">
        <f t="shared" si="0"/>
        <v>1804.1958041958042</v>
      </c>
      <c r="I29" s="104">
        <f t="shared" si="1"/>
        <v>1000</v>
      </c>
      <c r="J29" s="26" t="s">
        <v>494</v>
      </c>
      <c r="K29" s="26" t="s">
        <v>100</v>
      </c>
      <c r="L29" s="26" t="s">
        <v>101</v>
      </c>
      <c r="M29" s="27" t="s">
        <v>495</v>
      </c>
      <c r="N29" s="27" t="s">
        <v>418</v>
      </c>
      <c r="O29" s="28" t="s">
        <v>496</v>
      </c>
    </row>
    <row r="30" spans="1:15" ht="28.5" x14ac:dyDescent="0.25">
      <c r="A30" s="128" t="s">
        <v>497</v>
      </c>
      <c r="B30" s="129" t="s">
        <v>498</v>
      </c>
      <c r="C30" s="73" t="s">
        <v>57</v>
      </c>
      <c r="D30" s="74" t="s">
        <v>15</v>
      </c>
      <c r="E30" s="103">
        <v>120000</v>
      </c>
      <c r="F30" s="103">
        <v>65700</v>
      </c>
      <c r="G30" s="75">
        <v>73</v>
      </c>
      <c r="H30" s="105">
        <f t="shared" si="0"/>
        <v>1643.8356164383561</v>
      </c>
      <c r="I30" s="105">
        <f t="shared" si="1"/>
        <v>900</v>
      </c>
      <c r="J30" s="169" t="s">
        <v>499</v>
      </c>
      <c r="K30" s="169" t="s">
        <v>105</v>
      </c>
      <c r="L30" s="169" t="s">
        <v>101</v>
      </c>
      <c r="M30" s="77"/>
      <c r="N30" s="77" t="s">
        <v>500</v>
      </c>
      <c r="O30" s="72" t="s">
        <v>501</v>
      </c>
    </row>
    <row r="31" spans="1:15" ht="28.5" x14ac:dyDescent="0.25">
      <c r="A31" s="128" t="s">
        <v>502</v>
      </c>
      <c r="B31" s="129" t="s">
        <v>503</v>
      </c>
      <c r="C31" s="40" t="s">
        <v>21</v>
      </c>
      <c r="D31" s="74" t="s">
        <v>15</v>
      </c>
      <c r="E31" s="102">
        <v>74400</v>
      </c>
      <c r="F31" s="102">
        <v>61200</v>
      </c>
      <c r="G31" s="28">
        <v>72</v>
      </c>
      <c r="H31" s="104">
        <f t="shared" si="0"/>
        <v>1033.3333333333333</v>
      </c>
      <c r="I31" s="104">
        <f t="shared" si="1"/>
        <v>850</v>
      </c>
      <c r="J31" s="26" t="s">
        <v>380</v>
      </c>
      <c r="K31" s="26" t="s">
        <v>105</v>
      </c>
      <c r="L31" s="26" t="s">
        <v>110</v>
      </c>
      <c r="M31" s="27" t="s">
        <v>464</v>
      </c>
      <c r="N31" s="27" t="s">
        <v>418</v>
      </c>
      <c r="O31" s="28" t="s">
        <v>64</v>
      </c>
    </row>
    <row r="32" spans="1:15" ht="42.75" x14ac:dyDescent="0.25">
      <c r="A32" s="128" t="s">
        <v>504</v>
      </c>
      <c r="B32" s="129" t="s">
        <v>505</v>
      </c>
      <c r="C32" s="40" t="s">
        <v>26</v>
      </c>
      <c r="D32" s="74" t="s">
        <v>15</v>
      </c>
      <c r="E32" s="102">
        <v>48948</v>
      </c>
      <c r="F32" s="102">
        <v>48948</v>
      </c>
      <c r="G32" s="42">
        <v>60</v>
      </c>
      <c r="H32" s="104">
        <f t="shared" si="0"/>
        <v>815.8</v>
      </c>
      <c r="I32" s="104">
        <f t="shared" si="1"/>
        <v>815.8</v>
      </c>
      <c r="J32" s="26" t="s">
        <v>226</v>
      </c>
      <c r="K32" s="26" t="s">
        <v>105</v>
      </c>
      <c r="L32" s="26" t="s">
        <v>110</v>
      </c>
      <c r="M32" s="27" t="s">
        <v>506</v>
      </c>
      <c r="N32" s="27" t="s">
        <v>460</v>
      </c>
      <c r="O32" s="28" t="s">
        <v>507</v>
      </c>
    </row>
    <row r="33" spans="1:15" ht="28.5" x14ac:dyDescent="0.25">
      <c r="A33" s="128" t="s">
        <v>508</v>
      </c>
      <c r="B33" s="129" t="s">
        <v>509</v>
      </c>
      <c r="C33" s="40" t="s">
        <v>21</v>
      </c>
      <c r="D33" s="74" t="s">
        <v>15</v>
      </c>
      <c r="E33" s="102">
        <v>108000</v>
      </c>
      <c r="F33" s="102">
        <v>80000</v>
      </c>
      <c r="G33" s="42">
        <v>100</v>
      </c>
      <c r="H33" s="104">
        <f t="shared" si="0"/>
        <v>1080</v>
      </c>
      <c r="I33" s="104">
        <f t="shared" si="1"/>
        <v>800</v>
      </c>
      <c r="J33" s="26" t="s">
        <v>122</v>
      </c>
      <c r="K33" s="26" t="s">
        <v>105</v>
      </c>
      <c r="L33" s="26" t="s">
        <v>101</v>
      </c>
      <c r="M33" s="27"/>
      <c r="N33" s="27" t="s">
        <v>500</v>
      </c>
      <c r="O33" s="28" t="s">
        <v>278</v>
      </c>
    </row>
    <row r="34" spans="1:15" x14ac:dyDescent="0.25">
      <c r="A34" s="128" t="s">
        <v>510</v>
      </c>
      <c r="B34" s="129" t="s">
        <v>511</v>
      </c>
      <c r="C34" s="40" t="s">
        <v>21</v>
      </c>
      <c r="D34" s="74" t="s">
        <v>15</v>
      </c>
      <c r="E34" s="102">
        <v>118800</v>
      </c>
      <c r="F34" s="102">
        <v>55200</v>
      </c>
      <c r="G34" s="42">
        <v>69</v>
      </c>
      <c r="H34" s="104">
        <f t="shared" si="0"/>
        <v>1721.7391304347825</v>
      </c>
      <c r="I34" s="104">
        <f t="shared" si="1"/>
        <v>800</v>
      </c>
      <c r="J34" s="26" t="s">
        <v>177</v>
      </c>
      <c r="K34" s="26" t="s">
        <v>105</v>
      </c>
      <c r="L34" s="26" t="s">
        <v>101</v>
      </c>
      <c r="M34" s="27"/>
      <c r="N34" s="27" t="s">
        <v>418</v>
      </c>
      <c r="O34" s="28" t="s">
        <v>64</v>
      </c>
    </row>
    <row r="35" spans="1:15" ht="28.5" x14ac:dyDescent="0.25">
      <c r="A35" s="128" t="s">
        <v>512</v>
      </c>
      <c r="B35" s="129" t="s">
        <v>513</v>
      </c>
      <c r="C35" s="40" t="s">
        <v>514</v>
      </c>
      <c r="D35" s="74" t="s">
        <v>15</v>
      </c>
      <c r="E35" s="102">
        <v>102000</v>
      </c>
      <c r="F35" s="102">
        <v>44250</v>
      </c>
      <c r="G35" s="42">
        <v>59</v>
      </c>
      <c r="H35" s="104">
        <f t="shared" si="0"/>
        <v>1728.8135593220338</v>
      </c>
      <c r="I35" s="104">
        <f t="shared" si="1"/>
        <v>750</v>
      </c>
      <c r="J35" s="26" t="s">
        <v>58</v>
      </c>
      <c r="K35" s="26" t="s">
        <v>105</v>
      </c>
      <c r="L35" s="26" t="s">
        <v>101</v>
      </c>
      <c r="M35" s="27"/>
      <c r="N35" s="27" t="s">
        <v>418</v>
      </c>
      <c r="O35" s="28" t="s">
        <v>254</v>
      </c>
    </row>
    <row r="36" spans="1:15" ht="28.5" x14ac:dyDescent="0.25">
      <c r="A36" s="131" t="s">
        <v>515</v>
      </c>
      <c r="B36" s="168" t="s">
        <v>516</v>
      </c>
      <c r="C36" s="40" t="s">
        <v>21</v>
      </c>
      <c r="D36" s="74" t="s">
        <v>15</v>
      </c>
      <c r="E36" s="102">
        <v>147600</v>
      </c>
      <c r="F36" s="102">
        <v>90000</v>
      </c>
      <c r="G36" s="42">
        <v>72</v>
      </c>
      <c r="H36" s="104">
        <f t="shared" si="0"/>
        <v>2050</v>
      </c>
      <c r="I36" s="104">
        <f t="shared" si="1"/>
        <v>1250</v>
      </c>
      <c r="J36" s="28" t="s">
        <v>517</v>
      </c>
      <c r="K36" s="26" t="s">
        <v>105</v>
      </c>
      <c r="L36" s="26" t="s">
        <v>101</v>
      </c>
      <c r="M36" s="27"/>
      <c r="N36" s="27" t="s">
        <v>418</v>
      </c>
      <c r="O36" s="28" t="s">
        <v>461</v>
      </c>
    </row>
    <row r="37" spans="1:15" ht="31.5" x14ac:dyDescent="0.25">
      <c r="A37" s="138" t="str">
        <f>"Samlet antal sager: " &amp;COUNTA(Tabel2[Sagsnr.])</f>
        <v>Samlet antal sager: 35</v>
      </c>
      <c r="B37" s="133"/>
      <c r="C37" s="176" t="s">
        <v>386</v>
      </c>
      <c r="D37" s="176"/>
      <c r="E37" s="142">
        <f>AVERAGE(Tabel2[Aftalt leje, årlig]
)</f>
        <v>145805.74085714284</v>
      </c>
      <c r="F37" s="142">
        <f>AVERAGE(Tabel2[Godkendt leje, årlig]
)</f>
        <v>98244.379428571439</v>
      </c>
      <c r="G37" s="143">
        <f>AVERAGE(Tabel2[m²]
)</f>
        <v>80.457142857142856</v>
      </c>
      <c r="H37" s="142">
        <f>AVERAGE(Tabel2[Aftalt leje pr. m², årlig]
)</f>
        <v>1927.6596050495789</v>
      </c>
      <c r="I37" s="142">
        <f>AVERAGE(Tabel2[Godkendt leje pr. m², årlig]
)</f>
        <v>1202.8549280514887</v>
      </c>
      <c r="J37" s="134"/>
      <c r="K37" s="134"/>
      <c r="L37" s="135"/>
      <c r="M37" s="136"/>
      <c r="N37" s="136"/>
      <c r="O37" s="137"/>
    </row>
    <row r="38" spans="1:15" x14ac:dyDescent="0.25">
      <c r="A38" s="1"/>
      <c r="B38" s="1"/>
      <c r="C38" s="1"/>
      <c r="D38" s="1"/>
    </row>
    <row r="39" spans="1:15" ht="15.75" x14ac:dyDescent="0.25">
      <c r="A39" s="1"/>
      <c r="B39" s="55" t="s">
        <v>388</v>
      </c>
      <c r="C39" s="56">
        <f>COUNTA(Tabel2[Sagsnr.])</f>
        <v>35</v>
      </c>
      <c r="D39" s="57">
        <f>SUM(I39+N39)</f>
        <v>1</v>
      </c>
      <c r="E39" s="50"/>
      <c r="F39" s="185" t="s">
        <v>389</v>
      </c>
      <c r="G39" s="186"/>
      <c r="H39" s="65" cm="1">
        <f t="array" ref="H39">SUMPRODUCT(--(H2:H36&gt;I2:I36))</f>
        <v>31</v>
      </c>
      <c r="I39" s="66">
        <f>(H39/C39)</f>
        <v>0.88571428571428568</v>
      </c>
      <c r="J39" s="51"/>
      <c r="K39" s="177" t="s">
        <v>390</v>
      </c>
      <c r="L39" s="178"/>
      <c r="M39" s="67" cm="1">
        <f t="array" ref="M39">SUMPRODUCT(--(H2:H36=I2:I36))</f>
        <v>4</v>
      </c>
      <c r="N39" s="68">
        <f>(M39/C39)</f>
        <v>0.11428571428571428</v>
      </c>
    </row>
    <row r="40" spans="1:15" ht="31.5" x14ac:dyDescent="0.25">
      <c r="A40" s="1"/>
      <c r="B40" s="58" t="s">
        <v>391</v>
      </c>
      <c r="C40" s="59">
        <f>H37</f>
        <v>1927.6596050495789</v>
      </c>
      <c r="D40" s="60" t="s">
        <v>392</v>
      </c>
      <c r="E40" s="50"/>
      <c r="F40" s="187" t="s">
        <v>391</v>
      </c>
      <c r="G40" s="187"/>
      <c r="H40" s="64" cm="1">
        <f t="array" ref="H40">AVERAGE(IF(I2:I36&lt;H2:H36,H2:H36))</f>
        <v>1995.5065605636401</v>
      </c>
      <c r="I40" s="60" t="s">
        <v>392</v>
      </c>
      <c r="J40" s="51"/>
      <c r="K40" s="179" t="s">
        <v>393</v>
      </c>
      <c r="L40" s="180"/>
      <c r="M40" s="64" cm="1">
        <f t="array" ref="M40">AVERAGE(IF(I2:I36=H2:H36,H2:H36))</f>
        <v>1401.8456998156055</v>
      </c>
      <c r="N40" s="60" t="s">
        <v>392</v>
      </c>
    </row>
    <row r="41" spans="1:15" ht="31.5" x14ac:dyDescent="0.25">
      <c r="A41" s="1"/>
      <c r="B41" s="61" t="s">
        <v>394</v>
      </c>
      <c r="C41" s="59">
        <f>I37</f>
        <v>1202.8549280514887</v>
      </c>
      <c r="D41" s="60" t="s">
        <v>392</v>
      </c>
      <c r="E41" s="50"/>
      <c r="F41" s="184" t="s">
        <v>394</v>
      </c>
      <c r="G41" s="184"/>
      <c r="H41" s="64" cm="1">
        <f t="array" ref="H41">AVERAGE(IF(H2:H36&gt;I2:I36,I2:I36))</f>
        <v>1177.178699436764</v>
      </c>
      <c r="I41" s="60" t="s">
        <v>392</v>
      </c>
      <c r="J41" s="50"/>
      <c r="K41" s="50"/>
      <c r="L41" s="50"/>
      <c r="M41" s="50"/>
      <c r="N41" s="50"/>
    </row>
    <row r="42" spans="1:15" ht="31.5" x14ac:dyDescent="0.25">
      <c r="A42" s="1"/>
      <c r="B42" s="62" t="s">
        <v>395</v>
      </c>
      <c r="C42" s="59">
        <f>(C41-C40)</f>
        <v>-724.80467699809014</v>
      </c>
      <c r="D42" s="60" t="s">
        <v>392</v>
      </c>
      <c r="E42" s="50"/>
      <c r="F42" s="184" t="s">
        <v>396</v>
      </c>
      <c r="G42" s="184"/>
      <c r="H42" s="59">
        <f>(H41-H40)</f>
        <v>-818.32786112687609</v>
      </c>
      <c r="I42" s="60" t="s">
        <v>392</v>
      </c>
      <c r="J42" s="50"/>
      <c r="K42" s="50"/>
      <c r="L42" s="50"/>
      <c r="M42" s="50"/>
      <c r="N42" s="50"/>
    </row>
    <row r="43" spans="1:15" ht="47.25" x14ac:dyDescent="0.25">
      <c r="A43" s="1"/>
      <c r="B43" s="62" t="s">
        <v>397</v>
      </c>
      <c r="C43" s="63">
        <f>(C41-C40)/C40</f>
        <v>-0.37600242029216996</v>
      </c>
      <c r="D43" s="60" t="s">
        <v>392</v>
      </c>
      <c r="E43" s="50"/>
      <c r="F43" s="184" t="s">
        <v>398</v>
      </c>
      <c r="G43" s="184"/>
      <c r="H43" s="63">
        <f>(H41-H40)/H40</f>
        <v>-0.41008527724195282</v>
      </c>
      <c r="I43" s="60" t="s">
        <v>392</v>
      </c>
      <c r="J43" s="50"/>
      <c r="K43" s="50"/>
      <c r="L43" s="50"/>
      <c r="M43" s="51"/>
      <c r="N43" s="51"/>
    </row>
    <row r="44" spans="1:15" ht="49.5" customHeight="1" x14ac:dyDescent="0.25">
      <c r="A44" s="1"/>
      <c r="B44" s="1"/>
      <c r="C44" s="1"/>
      <c r="D44" s="1"/>
    </row>
    <row r="45" spans="1:15" x14ac:dyDescent="0.25">
      <c r="A45" s="1"/>
      <c r="B45" s="1"/>
      <c r="C45" s="1"/>
      <c r="D45" s="1"/>
    </row>
    <row r="46" spans="1:15" ht="50.25" customHeight="1" x14ac:dyDescent="0.25">
      <c r="A46" s="1"/>
      <c r="B46" s="1"/>
      <c r="C46" s="1"/>
      <c r="D46" s="1"/>
    </row>
    <row r="47" spans="1:15" ht="50.25" customHeight="1" x14ac:dyDescent="0.25">
      <c r="A47" s="1"/>
      <c r="B47" s="1"/>
      <c r="C47" s="1"/>
      <c r="D47" s="1"/>
    </row>
    <row r="48" spans="1:15" ht="50.25" customHeight="1" x14ac:dyDescent="0.25">
      <c r="A48" s="1"/>
      <c r="B48" s="1"/>
      <c r="C48" s="1"/>
      <c r="D48" s="1"/>
    </row>
    <row r="49" spans="1:13" ht="50.25" customHeight="1" x14ac:dyDescent="0.25">
      <c r="A49" s="1"/>
      <c r="B49" s="1"/>
      <c r="C49" s="1"/>
      <c r="D49" s="1"/>
    </row>
    <row r="50" spans="1:13" ht="50.25" customHeight="1" x14ac:dyDescent="0.25">
      <c r="A50" s="1"/>
      <c r="B50" s="1"/>
      <c r="C50" s="1"/>
      <c r="D50" s="1"/>
    </row>
    <row r="51" spans="1:13" x14ac:dyDescent="0.25">
      <c r="A51" s="1"/>
      <c r="B51" s="1"/>
      <c r="C51" s="1"/>
      <c r="D51" s="1"/>
    </row>
    <row r="52" spans="1:13" x14ac:dyDescent="0.25">
      <c r="A52" s="1"/>
      <c r="B52" s="1"/>
      <c r="C52" s="1"/>
      <c r="D52" s="1"/>
    </row>
    <row r="53" spans="1:13" x14ac:dyDescent="0.25">
      <c r="A53" s="1"/>
      <c r="B53" s="1"/>
      <c r="C53" s="1"/>
      <c r="D53" s="1"/>
      <c r="M53" s="3"/>
    </row>
    <row r="54" spans="1:13" x14ac:dyDescent="0.25">
      <c r="A54" s="1"/>
      <c r="B54" s="1"/>
      <c r="C54" s="1"/>
      <c r="D54" s="1"/>
    </row>
    <row r="55" spans="1:13" x14ac:dyDescent="0.25">
      <c r="A55" s="1"/>
      <c r="B55" s="1"/>
      <c r="C55" s="1"/>
      <c r="D55" s="1"/>
    </row>
    <row r="56" spans="1:13" x14ac:dyDescent="0.25">
      <c r="A56" s="1"/>
      <c r="B56" s="1"/>
      <c r="C56" s="1"/>
      <c r="D56" s="1"/>
    </row>
    <row r="57" spans="1:13" x14ac:dyDescent="0.25">
      <c r="A57" s="1"/>
      <c r="B57" s="1"/>
      <c r="C57" s="1"/>
      <c r="D57" s="1"/>
    </row>
    <row r="58" spans="1:13" x14ac:dyDescent="0.25">
      <c r="A58" s="1"/>
      <c r="B58" s="1"/>
      <c r="C58" s="1"/>
      <c r="D58" s="1"/>
    </row>
    <row r="59" spans="1:13" x14ac:dyDescent="0.25">
      <c r="A59" s="1"/>
      <c r="B59" s="1"/>
      <c r="C59" s="1"/>
      <c r="D59" s="1"/>
    </row>
    <row r="60" spans="1:13" x14ac:dyDescent="0.25">
      <c r="A60" s="1"/>
      <c r="B60" s="1"/>
      <c r="C60" s="1"/>
      <c r="D60" s="1"/>
    </row>
    <row r="61" spans="1:13" x14ac:dyDescent="0.25">
      <c r="A61" s="1"/>
      <c r="B61" s="1"/>
      <c r="C61" s="1"/>
      <c r="D61" s="1"/>
    </row>
    <row r="62" spans="1:13" x14ac:dyDescent="0.25">
      <c r="A62" s="1"/>
      <c r="B62" s="1"/>
      <c r="C62" s="1"/>
      <c r="D62" s="1"/>
    </row>
    <row r="63" spans="1:13" x14ac:dyDescent="0.25">
      <c r="A63" s="1"/>
      <c r="B63" s="1"/>
      <c r="C63" s="1"/>
      <c r="D63" s="1"/>
    </row>
    <row r="64" spans="1:13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13" x14ac:dyDescent="0.25">
      <c r="A81" s="1"/>
      <c r="B81" s="1"/>
      <c r="C81" s="1"/>
      <c r="D81" s="1"/>
    </row>
    <row r="82" spans="1:13" x14ac:dyDescent="0.25">
      <c r="A82" s="1"/>
      <c r="B82" s="1"/>
      <c r="C82" s="1"/>
      <c r="D82" s="1"/>
    </row>
    <row r="83" spans="1:13" x14ac:dyDescent="0.25">
      <c r="A83" s="1"/>
      <c r="B83" s="1"/>
      <c r="C83" s="1"/>
      <c r="D83" s="1"/>
    </row>
    <row r="84" spans="1:13" x14ac:dyDescent="0.25">
      <c r="A84" s="1"/>
      <c r="B84" s="1"/>
      <c r="C84" s="1"/>
      <c r="D84" s="1"/>
    </row>
    <row r="85" spans="1:13" x14ac:dyDescent="0.25">
      <c r="A85" s="1"/>
      <c r="B85" s="1"/>
      <c r="C85" s="1"/>
      <c r="D85" s="1"/>
    </row>
    <row r="86" spans="1:13" x14ac:dyDescent="0.25">
      <c r="A86" s="1"/>
      <c r="B86" s="1"/>
      <c r="C86" s="1"/>
      <c r="D86" s="1"/>
    </row>
    <row r="87" spans="1:13" x14ac:dyDescent="0.25">
      <c r="A87" s="1"/>
      <c r="B87" s="1"/>
      <c r="C87" s="1"/>
      <c r="D87" s="1"/>
    </row>
    <row r="88" spans="1:13" x14ac:dyDescent="0.25">
      <c r="A88" s="1"/>
      <c r="B88" s="1"/>
      <c r="C88" s="1"/>
      <c r="D88" s="1"/>
    </row>
    <row r="89" spans="1:13" x14ac:dyDescent="0.25">
      <c r="A89" s="1"/>
      <c r="B89" s="1"/>
      <c r="C89" s="1"/>
      <c r="D89" s="1"/>
    </row>
    <row r="90" spans="1:13" x14ac:dyDescent="0.25">
      <c r="A90" s="1"/>
      <c r="B90" s="1"/>
      <c r="C90" s="1"/>
      <c r="D90" s="1"/>
    </row>
    <row r="91" spans="1:13" x14ac:dyDescent="0.25">
      <c r="A91" s="1"/>
      <c r="B91" s="1"/>
      <c r="C91" s="1"/>
      <c r="D91" s="1"/>
    </row>
    <row r="92" spans="1:13" x14ac:dyDescent="0.25">
      <c r="A92" s="1"/>
      <c r="B92" s="1"/>
      <c r="C92" s="1"/>
      <c r="D92" s="1"/>
    </row>
    <row r="93" spans="1:13" x14ac:dyDescent="0.25">
      <c r="A93" s="1"/>
      <c r="B93" s="1"/>
      <c r="C93" s="1"/>
      <c r="D93" s="1"/>
    </row>
    <row r="94" spans="1:13" x14ac:dyDescent="0.25">
      <c r="A94" s="11"/>
      <c r="B94" s="10"/>
      <c r="C94" s="10"/>
      <c r="D94" s="10"/>
      <c r="E94" s="12"/>
      <c r="F94" s="12"/>
      <c r="G94" s="37"/>
      <c r="H94" s="12"/>
      <c r="I94" s="12"/>
      <c r="J94" s="12"/>
      <c r="K94" s="12"/>
      <c r="L94" s="12"/>
      <c r="M94" s="10"/>
    </row>
    <row r="95" spans="1:13" x14ac:dyDescent="0.25">
      <c r="A95" s="1"/>
      <c r="J95" s="24"/>
      <c r="K95" s="24"/>
      <c r="L95" s="24"/>
    </row>
    <row r="96" spans="1:13" x14ac:dyDescent="0.25">
      <c r="A96" s="4" t="s">
        <v>518</v>
      </c>
      <c r="B96" s="5"/>
      <c r="C96" s="5"/>
      <c r="D96" s="6"/>
      <c r="E96" s="6">
        <f>SUM(E2:E95)</f>
        <v>5249006.6708571427</v>
      </c>
      <c r="F96" s="6">
        <f>SUM(F2:F95)</f>
        <v>3536797.6594285718</v>
      </c>
      <c r="G96" s="38"/>
      <c r="H96" s="6">
        <f>SUM(H2:H95)</f>
        <v>71780.69309538111</v>
      </c>
      <c r="I96" s="7">
        <f>SUM(I2:I95)</f>
        <v>43303.663124139304</v>
      </c>
      <c r="J96" s="7">
        <f>SUM(J2:J95)</f>
        <v>0</v>
      </c>
      <c r="K96" s="7">
        <f>SUM(K2:K95)</f>
        <v>0</v>
      </c>
      <c r="L96" s="7">
        <f>SUM(L2:L95)</f>
        <v>0</v>
      </c>
      <c r="M96" s="5"/>
    </row>
    <row r="97" spans="1:13" x14ac:dyDescent="0.25">
      <c r="A97" s="17" t="s">
        <v>519</v>
      </c>
      <c r="B97" s="13"/>
      <c r="C97" s="13"/>
      <c r="D97" s="14"/>
      <c r="E97" s="14">
        <f>E96/56</f>
        <v>93732.261979591829</v>
      </c>
      <c r="F97" s="14">
        <f>F96/56</f>
        <v>63157.101061224494</v>
      </c>
      <c r="G97" s="39"/>
      <c r="H97" s="15">
        <f>H96/56</f>
        <v>1281.7980909889484</v>
      </c>
      <c r="I97" s="16">
        <f>I96/56</f>
        <v>773.27969864534475</v>
      </c>
      <c r="J97" s="25">
        <f t="shared" ref="J97:L97" si="2">J96/56</f>
        <v>0</v>
      </c>
      <c r="K97" s="25">
        <f t="shared" si="2"/>
        <v>0</v>
      </c>
      <c r="L97" s="25">
        <f t="shared" si="2"/>
        <v>0</v>
      </c>
      <c r="M97" s="13"/>
    </row>
    <row r="98" spans="1:13" x14ac:dyDescent="0.25">
      <c r="A98" s="1"/>
    </row>
    <row r="99" spans="1:13" x14ac:dyDescent="0.25">
      <c r="A99" s="1"/>
      <c r="E99" s="2"/>
      <c r="F99" s="2"/>
    </row>
    <row r="100" spans="1:13" x14ac:dyDescent="0.25">
      <c r="A100" s="1"/>
      <c r="C100" s="18"/>
      <c r="E100" s="19"/>
      <c r="F100" s="19"/>
    </row>
    <row r="101" spans="1:13" x14ac:dyDescent="0.25">
      <c r="A101" s="1"/>
      <c r="C101" s="18"/>
      <c r="E101" s="20"/>
      <c r="F101" s="20"/>
    </row>
    <row r="102" spans="1:13" x14ac:dyDescent="0.25">
      <c r="A102" s="1"/>
      <c r="C102" s="18"/>
      <c r="E102" s="21"/>
      <c r="F102" s="19"/>
    </row>
    <row r="103" spans="1:13" x14ac:dyDescent="0.25">
      <c r="A103" s="1"/>
      <c r="C103" s="18"/>
      <c r="E103" s="22"/>
      <c r="F103" s="19"/>
    </row>
    <row r="104" spans="1:13" x14ac:dyDescent="0.25">
      <c r="A104" s="1"/>
      <c r="C104" s="18"/>
      <c r="E104" s="23"/>
      <c r="F104" s="19"/>
    </row>
    <row r="105" spans="1:13" x14ac:dyDescent="0.25">
      <c r="A105" s="1"/>
      <c r="C105" s="18"/>
      <c r="E105" s="23"/>
      <c r="F105" s="19"/>
    </row>
    <row r="106" spans="1:13" x14ac:dyDescent="0.25">
      <c r="A106" s="1"/>
      <c r="C106" s="18"/>
      <c r="E106" s="19"/>
      <c r="F106" s="19"/>
    </row>
    <row r="107" spans="1:13" x14ac:dyDescent="0.25">
      <c r="A107" s="1"/>
      <c r="C107" s="18"/>
      <c r="E107" s="19"/>
      <c r="F107" s="19"/>
    </row>
    <row r="108" spans="1:13" x14ac:dyDescent="0.25">
      <c r="A108" s="1"/>
      <c r="C108" s="18"/>
      <c r="E108" s="19"/>
      <c r="F108" s="19"/>
    </row>
    <row r="109" spans="1:13" x14ac:dyDescent="0.25">
      <c r="A109" s="1"/>
      <c r="C109" s="18"/>
      <c r="E109" s="19"/>
      <c r="F109" s="19"/>
    </row>
    <row r="110" spans="1:13" x14ac:dyDescent="0.25">
      <c r="A110" s="1"/>
      <c r="E110" s="19"/>
      <c r="F110" s="19"/>
    </row>
    <row r="111" spans="1:13" x14ac:dyDescent="0.25">
      <c r="A111" s="1"/>
      <c r="E111" s="19"/>
      <c r="F111" s="19"/>
    </row>
    <row r="112" spans="1:13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</sheetData>
  <mergeCells count="8">
    <mergeCell ref="C37:D37"/>
    <mergeCell ref="F43:G43"/>
    <mergeCell ref="F39:G39"/>
    <mergeCell ref="K39:L39"/>
    <mergeCell ref="F40:G40"/>
    <mergeCell ref="K40:L40"/>
    <mergeCell ref="F41:G41"/>
    <mergeCell ref="F42:G42"/>
  </mergeCells>
  <dataValidations disablePrompts="1" count="1">
    <dataValidation type="custom" allowBlank="1" showInputMessage="1" showErrorMessage="1" sqref="C1" xr:uid="{7401C8AA-FAB5-4C47-BB32-6D6389296811}">
      <formula1>"København S"</formula1>
    </dataValidation>
  </dataValidations>
  <pageMargins left="0.25" right="0.25" top="0.75" bottom="0.75" header="0.3" footer="0.3"/>
  <pageSetup paperSize="9" scale="36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7224-610A-493B-A2B6-D34D3BADDA41}">
  <dimension ref="A1:O29"/>
  <sheetViews>
    <sheetView zoomScale="130" zoomScaleNormal="130" workbookViewId="0">
      <pane ySplit="1" topLeftCell="A2" activePane="bottomLeft" state="frozen"/>
      <selection activeCell="D1" sqref="D1"/>
      <selection pane="bottomLeft" activeCell="B22" sqref="B22"/>
    </sheetView>
  </sheetViews>
  <sheetFormatPr defaultRowHeight="15" x14ac:dyDescent="0.25"/>
  <cols>
    <col min="1" max="1" width="16.7109375" customWidth="1"/>
    <col min="2" max="2" width="30.28515625" customWidth="1"/>
    <col min="3" max="3" width="14.85546875" customWidth="1"/>
    <col min="4" max="4" width="11.5703125" customWidth="1"/>
    <col min="5" max="5" width="22.42578125" customWidth="1"/>
    <col min="6" max="6" width="18.85546875" customWidth="1"/>
    <col min="7" max="7" width="12.140625" bestFit="1" customWidth="1"/>
    <col min="8" max="8" width="18" customWidth="1"/>
    <col min="9" max="9" width="18.7109375" customWidth="1"/>
    <col min="10" max="10" width="23.140625" customWidth="1"/>
    <col min="11" max="11" width="33.85546875" customWidth="1"/>
    <col min="12" max="12" width="14.28515625" bestFit="1" customWidth="1"/>
    <col min="13" max="13" width="19.140625" bestFit="1" customWidth="1"/>
    <col min="14" max="14" width="25" customWidth="1"/>
    <col min="15" max="15" width="21.140625" customWidth="1"/>
  </cols>
  <sheetData>
    <row r="1" spans="1:15" s="172" customFormat="1" ht="31.5" x14ac:dyDescent="0.25">
      <c r="A1" s="170" t="s">
        <v>0</v>
      </c>
      <c r="B1" s="170" t="s">
        <v>1</v>
      </c>
      <c r="C1" s="170" t="s">
        <v>2</v>
      </c>
      <c r="D1" s="170" t="s">
        <v>3</v>
      </c>
      <c r="E1" s="170" t="s">
        <v>87</v>
      </c>
      <c r="F1" s="170" t="s">
        <v>88</v>
      </c>
      <c r="G1" s="171" t="s">
        <v>89</v>
      </c>
      <c r="H1" s="170" t="s">
        <v>90</v>
      </c>
      <c r="I1" s="170" t="s">
        <v>91</v>
      </c>
      <c r="J1" s="170" t="s">
        <v>92</v>
      </c>
      <c r="K1" s="170" t="s">
        <v>93</v>
      </c>
      <c r="L1" s="170" t="s">
        <v>520</v>
      </c>
      <c r="M1" s="170" t="s">
        <v>10</v>
      </c>
      <c r="N1" s="170" t="s">
        <v>401</v>
      </c>
      <c r="O1" s="170" t="s">
        <v>11</v>
      </c>
    </row>
    <row r="2" spans="1:15" x14ac:dyDescent="0.25">
      <c r="A2" s="28" t="s">
        <v>521</v>
      </c>
      <c r="B2" s="40" t="s">
        <v>522</v>
      </c>
      <c r="C2" s="40" t="s">
        <v>98</v>
      </c>
      <c r="D2" s="41" t="s">
        <v>15</v>
      </c>
      <c r="E2" s="102">
        <v>45123.4</v>
      </c>
      <c r="F2" s="102">
        <v>67650</v>
      </c>
      <c r="G2" s="43">
        <v>83</v>
      </c>
      <c r="H2" s="104">
        <f t="shared" ref="H2:H22" si="0">SUM(E2/G2)</f>
        <v>543.65542168674699</v>
      </c>
      <c r="I2" s="104">
        <f t="shared" ref="I2:I22" si="1">SUM(F2/G2)</f>
        <v>815.06024096385545</v>
      </c>
      <c r="J2" s="106" t="s">
        <v>523</v>
      </c>
      <c r="K2" s="106" t="s">
        <v>100</v>
      </c>
      <c r="L2" s="106" t="s">
        <v>101</v>
      </c>
      <c r="M2" s="27"/>
      <c r="N2" s="28" t="s">
        <v>456</v>
      </c>
      <c r="O2" s="28" t="s">
        <v>524</v>
      </c>
    </row>
    <row r="3" spans="1:15" x14ac:dyDescent="0.25">
      <c r="A3" s="28" t="s">
        <v>525</v>
      </c>
      <c r="B3" s="40" t="s">
        <v>522</v>
      </c>
      <c r="C3" s="40" t="s">
        <v>98</v>
      </c>
      <c r="D3" s="41" t="s">
        <v>15</v>
      </c>
      <c r="E3" s="102">
        <v>72020.28</v>
      </c>
      <c r="F3" s="102">
        <v>96750</v>
      </c>
      <c r="G3" s="43">
        <v>129</v>
      </c>
      <c r="H3" s="104">
        <f t="shared" si="0"/>
        <v>558.29674418604645</v>
      </c>
      <c r="I3" s="104">
        <f t="shared" si="1"/>
        <v>750</v>
      </c>
      <c r="J3" s="106" t="s">
        <v>523</v>
      </c>
      <c r="K3" s="106" t="s">
        <v>100</v>
      </c>
      <c r="L3" s="106" t="s">
        <v>101</v>
      </c>
      <c r="M3" s="27"/>
      <c r="N3" s="28" t="s">
        <v>456</v>
      </c>
      <c r="O3" s="28" t="s">
        <v>524</v>
      </c>
    </row>
    <row r="4" spans="1:15" x14ac:dyDescent="0.25">
      <c r="A4" s="28" t="s">
        <v>526</v>
      </c>
      <c r="B4" s="40" t="s">
        <v>522</v>
      </c>
      <c r="C4" s="40" t="s">
        <v>98</v>
      </c>
      <c r="D4" s="41" t="s">
        <v>15</v>
      </c>
      <c r="E4" s="102">
        <v>49688.44</v>
      </c>
      <c r="F4" s="102">
        <v>66750</v>
      </c>
      <c r="G4" s="43">
        <v>97</v>
      </c>
      <c r="H4" s="104">
        <f t="shared" si="0"/>
        <v>512.2519587628866</v>
      </c>
      <c r="I4" s="104">
        <f t="shared" si="1"/>
        <v>688.14432989690727</v>
      </c>
      <c r="J4" s="106" t="s">
        <v>523</v>
      </c>
      <c r="K4" s="106" t="s">
        <v>100</v>
      </c>
      <c r="L4" s="106" t="s">
        <v>101</v>
      </c>
      <c r="M4" s="27"/>
      <c r="N4" s="28" t="s">
        <v>456</v>
      </c>
      <c r="O4" s="28" t="s">
        <v>524</v>
      </c>
    </row>
    <row r="5" spans="1:15" ht="42.75" x14ac:dyDescent="0.25">
      <c r="A5" s="28" t="s">
        <v>527</v>
      </c>
      <c r="B5" s="40" t="s">
        <v>522</v>
      </c>
      <c r="C5" s="40" t="s">
        <v>98</v>
      </c>
      <c r="D5" s="41" t="s">
        <v>15</v>
      </c>
      <c r="E5" s="102">
        <v>51921.8</v>
      </c>
      <c r="F5" s="102">
        <v>55350</v>
      </c>
      <c r="G5" s="43">
        <v>82</v>
      </c>
      <c r="H5" s="104">
        <f t="shared" si="0"/>
        <v>633.19268292682932</v>
      </c>
      <c r="I5" s="104">
        <f t="shared" si="1"/>
        <v>675</v>
      </c>
      <c r="J5" s="106" t="s">
        <v>523</v>
      </c>
      <c r="K5" s="106" t="s">
        <v>100</v>
      </c>
      <c r="L5" s="106" t="s">
        <v>101</v>
      </c>
      <c r="M5" s="27"/>
      <c r="N5" s="27" t="s">
        <v>528</v>
      </c>
      <c r="O5" s="28" t="s">
        <v>524</v>
      </c>
    </row>
    <row r="6" spans="1:15" ht="42.75" x14ac:dyDescent="0.25">
      <c r="A6" s="27" t="s">
        <v>529</v>
      </c>
      <c r="B6" s="40" t="s">
        <v>530</v>
      </c>
      <c r="C6" s="40" t="s">
        <v>98</v>
      </c>
      <c r="D6" s="41" t="s">
        <v>15</v>
      </c>
      <c r="E6" s="102">
        <v>50823.96</v>
      </c>
      <c r="F6" s="102">
        <v>60480</v>
      </c>
      <c r="G6" s="42">
        <v>84</v>
      </c>
      <c r="H6" s="104">
        <f t="shared" si="0"/>
        <v>605.04714285714283</v>
      </c>
      <c r="I6" s="104">
        <f t="shared" si="1"/>
        <v>720</v>
      </c>
      <c r="J6" s="26" t="s">
        <v>531</v>
      </c>
      <c r="K6" s="26" t="s">
        <v>100</v>
      </c>
      <c r="L6" s="26" t="s">
        <v>101</v>
      </c>
      <c r="M6" s="27"/>
      <c r="N6" s="27" t="s">
        <v>532</v>
      </c>
      <c r="O6" s="27" t="s">
        <v>496</v>
      </c>
    </row>
    <row r="7" spans="1:15" ht="42.75" x14ac:dyDescent="0.25">
      <c r="A7" s="28" t="s">
        <v>533</v>
      </c>
      <c r="B7" s="40" t="s">
        <v>530</v>
      </c>
      <c r="C7" s="40" t="s">
        <v>98</v>
      </c>
      <c r="D7" s="41" t="s">
        <v>15</v>
      </c>
      <c r="E7" s="102">
        <v>49000.32</v>
      </c>
      <c r="F7" s="102">
        <v>54675</v>
      </c>
      <c r="G7" s="43">
        <v>81</v>
      </c>
      <c r="H7" s="104">
        <f t="shared" si="0"/>
        <v>604.9422222222222</v>
      </c>
      <c r="I7" s="104">
        <f t="shared" si="1"/>
        <v>675</v>
      </c>
      <c r="J7" s="106" t="s">
        <v>141</v>
      </c>
      <c r="K7" s="106" t="s">
        <v>105</v>
      </c>
      <c r="L7" s="106" t="s">
        <v>101</v>
      </c>
      <c r="M7" s="27"/>
      <c r="N7" s="27" t="s">
        <v>532</v>
      </c>
      <c r="O7" s="28" t="s">
        <v>496</v>
      </c>
    </row>
    <row r="8" spans="1:15" x14ac:dyDescent="0.25">
      <c r="A8" s="28" t="s">
        <v>521</v>
      </c>
      <c r="B8" s="167" t="s">
        <v>522</v>
      </c>
      <c r="C8" s="40" t="s">
        <v>534</v>
      </c>
      <c r="D8" s="41" t="s">
        <v>15</v>
      </c>
      <c r="E8" s="125">
        <v>45123.4</v>
      </c>
      <c r="F8" s="125">
        <v>67650</v>
      </c>
      <c r="G8" s="139">
        <v>83</v>
      </c>
      <c r="H8" s="104">
        <f t="shared" si="0"/>
        <v>543.65542168674699</v>
      </c>
      <c r="I8" s="104">
        <f t="shared" si="1"/>
        <v>815.06024096385545</v>
      </c>
      <c r="J8" s="106" t="s">
        <v>523</v>
      </c>
      <c r="K8" s="106" t="s">
        <v>100</v>
      </c>
      <c r="L8" s="106" t="s">
        <v>101</v>
      </c>
      <c r="M8" s="27"/>
      <c r="N8" s="28" t="s">
        <v>456</v>
      </c>
      <c r="O8" s="28" t="s">
        <v>524</v>
      </c>
    </row>
    <row r="9" spans="1:15" x14ac:dyDescent="0.25">
      <c r="A9" s="28" t="s">
        <v>525</v>
      </c>
      <c r="B9" s="167" t="s">
        <v>522</v>
      </c>
      <c r="C9" s="40" t="s">
        <v>534</v>
      </c>
      <c r="D9" s="41" t="s">
        <v>15</v>
      </c>
      <c r="E9" s="125">
        <v>72020.28</v>
      </c>
      <c r="F9" s="125">
        <v>96750</v>
      </c>
      <c r="G9" s="139">
        <v>129</v>
      </c>
      <c r="H9" s="104">
        <f t="shared" si="0"/>
        <v>558.29674418604645</v>
      </c>
      <c r="I9" s="104">
        <f t="shared" si="1"/>
        <v>750</v>
      </c>
      <c r="J9" s="106" t="s">
        <v>523</v>
      </c>
      <c r="K9" s="106" t="s">
        <v>100</v>
      </c>
      <c r="L9" s="106" t="s">
        <v>101</v>
      </c>
      <c r="M9" s="27"/>
      <c r="N9" s="28" t="s">
        <v>456</v>
      </c>
      <c r="O9" s="28" t="s">
        <v>524</v>
      </c>
    </row>
    <row r="10" spans="1:15" x14ac:dyDescent="0.25">
      <c r="A10" s="28" t="s">
        <v>526</v>
      </c>
      <c r="B10" s="167" t="s">
        <v>522</v>
      </c>
      <c r="C10" s="40" t="s">
        <v>534</v>
      </c>
      <c r="D10" s="41" t="s">
        <v>15</v>
      </c>
      <c r="E10" s="125">
        <v>49688.44</v>
      </c>
      <c r="F10" s="125">
        <v>66750</v>
      </c>
      <c r="G10" s="139">
        <v>97</v>
      </c>
      <c r="H10" s="104">
        <f t="shared" si="0"/>
        <v>512.2519587628866</v>
      </c>
      <c r="I10" s="104">
        <f t="shared" si="1"/>
        <v>688.14432989690727</v>
      </c>
      <c r="J10" s="106" t="s">
        <v>523</v>
      </c>
      <c r="K10" s="106" t="s">
        <v>100</v>
      </c>
      <c r="L10" s="106" t="s">
        <v>101</v>
      </c>
      <c r="M10" s="27"/>
      <c r="N10" s="28" t="s">
        <v>456</v>
      </c>
      <c r="O10" s="28" t="s">
        <v>524</v>
      </c>
    </row>
    <row r="11" spans="1:15" ht="42.75" x14ac:dyDescent="0.25">
      <c r="A11" s="28" t="s">
        <v>527</v>
      </c>
      <c r="B11" s="167" t="s">
        <v>522</v>
      </c>
      <c r="C11" s="40" t="s">
        <v>534</v>
      </c>
      <c r="D11" s="41" t="s">
        <v>15</v>
      </c>
      <c r="E11" s="125">
        <v>51921.8</v>
      </c>
      <c r="F11" s="125">
        <v>55350</v>
      </c>
      <c r="G11" s="139">
        <v>82</v>
      </c>
      <c r="H11" s="104">
        <f t="shared" si="0"/>
        <v>633.19268292682932</v>
      </c>
      <c r="I11" s="104">
        <f t="shared" si="1"/>
        <v>675</v>
      </c>
      <c r="J11" s="106" t="s">
        <v>523</v>
      </c>
      <c r="K11" s="106" t="s">
        <v>100</v>
      </c>
      <c r="L11" s="106" t="s">
        <v>101</v>
      </c>
      <c r="M11" s="27"/>
      <c r="N11" s="27" t="s">
        <v>528</v>
      </c>
      <c r="O11" s="28" t="s">
        <v>524</v>
      </c>
    </row>
    <row r="12" spans="1:15" x14ac:dyDescent="0.25">
      <c r="A12" s="28" t="s">
        <v>535</v>
      </c>
      <c r="B12" s="40" t="s">
        <v>536</v>
      </c>
      <c r="C12" s="40" t="s">
        <v>21</v>
      </c>
      <c r="D12" s="41" t="s">
        <v>15</v>
      </c>
      <c r="E12" s="102">
        <v>128800</v>
      </c>
      <c r="F12" s="102">
        <v>147200</v>
      </c>
      <c r="G12" s="43">
        <v>184</v>
      </c>
      <c r="H12" s="104">
        <f t="shared" si="0"/>
        <v>700</v>
      </c>
      <c r="I12" s="104">
        <f t="shared" si="1"/>
        <v>800</v>
      </c>
      <c r="J12" s="106" t="s">
        <v>537</v>
      </c>
      <c r="K12" s="106" t="s">
        <v>105</v>
      </c>
      <c r="L12" s="106" t="s">
        <v>101</v>
      </c>
      <c r="M12" s="27"/>
      <c r="N12" s="28" t="s">
        <v>456</v>
      </c>
      <c r="O12" s="28" t="s">
        <v>64</v>
      </c>
    </row>
    <row r="13" spans="1:15" x14ac:dyDescent="0.25">
      <c r="A13" s="72" t="s">
        <v>538</v>
      </c>
      <c r="B13" s="73" t="s">
        <v>539</v>
      </c>
      <c r="C13" s="73" t="s">
        <v>21</v>
      </c>
      <c r="D13" s="74" t="s">
        <v>15</v>
      </c>
      <c r="E13" s="103">
        <v>76505</v>
      </c>
      <c r="F13" s="103">
        <v>76505</v>
      </c>
      <c r="G13" s="107">
        <v>107</v>
      </c>
      <c r="H13" s="105">
        <f t="shared" si="0"/>
        <v>715</v>
      </c>
      <c r="I13" s="105">
        <f t="shared" si="1"/>
        <v>715</v>
      </c>
      <c r="J13" s="76" t="s">
        <v>540</v>
      </c>
      <c r="K13" s="76" t="s">
        <v>105</v>
      </c>
      <c r="L13" s="76" t="s">
        <v>101</v>
      </c>
      <c r="M13" s="77"/>
      <c r="N13" s="72" t="s">
        <v>474</v>
      </c>
      <c r="O13" s="72" t="s">
        <v>501</v>
      </c>
    </row>
    <row r="14" spans="1:15" x14ac:dyDescent="0.25">
      <c r="A14" s="140" t="s">
        <v>541</v>
      </c>
      <c r="B14" s="129" t="s">
        <v>542</v>
      </c>
      <c r="C14" s="40" t="s">
        <v>246</v>
      </c>
      <c r="D14" s="74" t="s">
        <v>15</v>
      </c>
      <c r="E14" s="125">
        <v>82950</v>
      </c>
      <c r="F14" s="125">
        <v>99400</v>
      </c>
      <c r="G14" s="139">
        <v>142</v>
      </c>
      <c r="H14" s="104">
        <f t="shared" si="0"/>
        <v>584.15492957746483</v>
      </c>
      <c r="I14" s="104">
        <f t="shared" si="1"/>
        <v>700</v>
      </c>
      <c r="J14" s="106" t="s">
        <v>152</v>
      </c>
      <c r="K14" s="106" t="s">
        <v>105</v>
      </c>
      <c r="L14" s="106" t="s">
        <v>101</v>
      </c>
      <c r="M14" s="27"/>
      <c r="N14" s="28" t="s">
        <v>456</v>
      </c>
      <c r="O14" s="28" t="s">
        <v>138</v>
      </c>
    </row>
    <row r="15" spans="1:15" ht="42.75" x14ac:dyDescent="0.25">
      <c r="A15" s="140" t="s">
        <v>543</v>
      </c>
      <c r="B15" s="130" t="s">
        <v>542</v>
      </c>
      <c r="C15" s="40" t="s">
        <v>246</v>
      </c>
      <c r="D15" s="74" t="s">
        <v>15</v>
      </c>
      <c r="E15" s="125">
        <v>85016.44</v>
      </c>
      <c r="F15" s="125">
        <v>145800</v>
      </c>
      <c r="G15" s="139">
        <v>125</v>
      </c>
      <c r="H15" s="104">
        <f t="shared" si="0"/>
        <v>680.13152000000002</v>
      </c>
      <c r="I15" s="104">
        <f t="shared" si="1"/>
        <v>1166.4000000000001</v>
      </c>
      <c r="J15" s="106" t="s">
        <v>544</v>
      </c>
      <c r="K15" s="106" t="s">
        <v>100</v>
      </c>
      <c r="L15" s="106" t="s">
        <v>101</v>
      </c>
      <c r="M15" s="27"/>
      <c r="N15" s="27" t="s">
        <v>545</v>
      </c>
      <c r="O15" s="28" t="s">
        <v>102</v>
      </c>
    </row>
    <row r="16" spans="1:15" ht="42.75" x14ac:dyDescent="0.25">
      <c r="A16" s="140" t="s">
        <v>546</v>
      </c>
      <c r="B16" s="130" t="s">
        <v>547</v>
      </c>
      <c r="C16" s="40" t="s">
        <v>548</v>
      </c>
      <c r="D16" s="74" t="s">
        <v>15</v>
      </c>
      <c r="E16" s="125">
        <v>96629.759999999995</v>
      </c>
      <c r="F16" s="125">
        <v>114000</v>
      </c>
      <c r="G16" s="139">
        <v>190</v>
      </c>
      <c r="H16" s="104">
        <f t="shared" si="0"/>
        <v>508.57768421052629</v>
      </c>
      <c r="I16" s="104">
        <f t="shared" si="1"/>
        <v>600</v>
      </c>
      <c r="J16" s="106" t="s">
        <v>549</v>
      </c>
      <c r="K16" s="106" t="s">
        <v>105</v>
      </c>
      <c r="L16" s="106" t="s">
        <v>101</v>
      </c>
      <c r="M16" s="27"/>
      <c r="N16" s="27" t="s">
        <v>550</v>
      </c>
      <c r="O16" s="28" t="s">
        <v>551</v>
      </c>
    </row>
    <row r="17" spans="1:15" ht="57" x14ac:dyDescent="0.25">
      <c r="A17" s="140" t="s">
        <v>552</v>
      </c>
      <c r="B17" s="129" t="s">
        <v>553</v>
      </c>
      <c r="C17" s="40" t="s">
        <v>14</v>
      </c>
      <c r="D17" s="74" t="s">
        <v>15</v>
      </c>
      <c r="E17" s="102">
        <v>63490.559999999998</v>
      </c>
      <c r="F17" s="102">
        <v>68850</v>
      </c>
      <c r="G17" s="42">
        <v>85</v>
      </c>
      <c r="H17" s="104">
        <f t="shared" si="0"/>
        <v>746.94776470588238</v>
      </c>
      <c r="I17" s="104">
        <f t="shared" si="1"/>
        <v>810</v>
      </c>
      <c r="J17" s="106" t="s">
        <v>499</v>
      </c>
      <c r="K17" s="106" t="s">
        <v>105</v>
      </c>
      <c r="L17" s="106" t="s">
        <v>101</v>
      </c>
      <c r="M17" s="27"/>
      <c r="N17" s="27" t="s">
        <v>554</v>
      </c>
      <c r="O17" s="28" t="s">
        <v>461</v>
      </c>
    </row>
    <row r="18" spans="1:15" x14ac:dyDescent="0.25">
      <c r="A18" s="140" t="s">
        <v>555</v>
      </c>
      <c r="B18" s="129" t="s">
        <v>556</v>
      </c>
      <c r="C18" s="40" t="s">
        <v>14</v>
      </c>
      <c r="D18" s="74" t="s">
        <v>15</v>
      </c>
      <c r="E18" s="102">
        <v>64500</v>
      </c>
      <c r="F18" s="102">
        <v>73100</v>
      </c>
      <c r="G18" s="43">
        <v>86</v>
      </c>
      <c r="H18" s="104">
        <f t="shared" si="0"/>
        <v>750</v>
      </c>
      <c r="I18" s="104">
        <f t="shared" si="1"/>
        <v>850</v>
      </c>
      <c r="J18" s="106" t="s">
        <v>208</v>
      </c>
      <c r="K18" s="106" t="s">
        <v>105</v>
      </c>
      <c r="L18" s="106" t="s">
        <v>101</v>
      </c>
      <c r="M18" s="27"/>
      <c r="N18" s="28" t="s">
        <v>557</v>
      </c>
      <c r="O18" s="28" t="s">
        <v>127</v>
      </c>
    </row>
    <row r="19" spans="1:15" x14ac:dyDescent="0.25">
      <c r="A19" s="140" t="s">
        <v>558</v>
      </c>
      <c r="B19" s="129" t="s">
        <v>553</v>
      </c>
      <c r="C19" s="40" t="s">
        <v>14</v>
      </c>
      <c r="D19" s="74" t="s">
        <v>15</v>
      </c>
      <c r="E19" s="125">
        <v>63490.559999999998</v>
      </c>
      <c r="F19" s="125">
        <v>70125</v>
      </c>
      <c r="G19" s="139">
        <v>85</v>
      </c>
      <c r="H19" s="104">
        <f t="shared" si="0"/>
        <v>746.94776470588238</v>
      </c>
      <c r="I19" s="104">
        <f t="shared" si="1"/>
        <v>825</v>
      </c>
      <c r="J19" s="106" t="s">
        <v>559</v>
      </c>
      <c r="K19" s="106" t="s">
        <v>105</v>
      </c>
      <c r="L19" s="106" t="s">
        <v>101</v>
      </c>
      <c r="M19" s="27"/>
      <c r="N19" s="28" t="s">
        <v>474</v>
      </c>
      <c r="O19" s="28" t="s">
        <v>203</v>
      </c>
    </row>
    <row r="20" spans="1:15" x14ac:dyDescent="0.25">
      <c r="A20" s="140" t="s">
        <v>560</v>
      </c>
      <c r="B20" s="129" t="s">
        <v>561</v>
      </c>
      <c r="C20" s="40" t="s">
        <v>57</v>
      </c>
      <c r="D20" s="74" t="s">
        <v>15</v>
      </c>
      <c r="E20" s="102">
        <v>34488</v>
      </c>
      <c r="F20" s="102">
        <v>34488</v>
      </c>
      <c r="G20" s="43">
        <v>43</v>
      </c>
      <c r="H20" s="104">
        <f t="shared" si="0"/>
        <v>802.04651162790697</v>
      </c>
      <c r="I20" s="104">
        <f t="shared" si="1"/>
        <v>802.04651162790697</v>
      </c>
      <c r="J20" s="106" t="s">
        <v>150</v>
      </c>
      <c r="K20" s="106" t="s">
        <v>105</v>
      </c>
      <c r="L20" s="106" t="s">
        <v>101</v>
      </c>
      <c r="M20" s="27"/>
      <c r="N20" s="28" t="s">
        <v>474</v>
      </c>
      <c r="O20" s="28" t="s">
        <v>562</v>
      </c>
    </row>
    <row r="21" spans="1:15" ht="59.25" customHeight="1" x14ac:dyDescent="0.25">
      <c r="A21" s="140" t="s">
        <v>560</v>
      </c>
      <c r="B21" s="130" t="s">
        <v>561</v>
      </c>
      <c r="C21" s="40" t="s">
        <v>563</v>
      </c>
      <c r="D21" s="74" t="s">
        <v>15</v>
      </c>
      <c r="E21" s="125">
        <v>34488</v>
      </c>
      <c r="F21" s="125">
        <v>34488</v>
      </c>
      <c r="G21" s="139">
        <v>43</v>
      </c>
      <c r="H21" s="104">
        <f t="shared" si="0"/>
        <v>802.04651162790697</v>
      </c>
      <c r="I21" s="104">
        <f t="shared" si="1"/>
        <v>802.04651162790697</v>
      </c>
      <c r="J21" s="106" t="s">
        <v>150</v>
      </c>
      <c r="K21" s="106" t="s">
        <v>105</v>
      </c>
      <c r="L21" s="106" t="s">
        <v>101</v>
      </c>
      <c r="M21" s="27"/>
      <c r="N21" s="28" t="s">
        <v>564</v>
      </c>
      <c r="O21" s="28" t="s">
        <v>562</v>
      </c>
    </row>
    <row r="22" spans="1:15" ht="15.75" thickBot="1" x14ac:dyDescent="0.3">
      <c r="A22" s="141" t="s">
        <v>565</v>
      </c>
      <c r="B22" s="132" t="s">
        <v>566</v>
      </c>
      <c r="C22" s="40" t="s">
        <v>567</v>
      </c>
      <c r="D22" s="74" t="s">
        <v>15</v>
      </c>
      <c r="E22" s="125">
        <v>77739.12</v>
      </c>
      <c r="F22" s="125">
        <v>77739.12</v>
      </c>
      <c r="G22" s="139">
        <v>82</v>
      </c>
      <c r="H22" s="104">
        <f t="shared" si="0"/>
        <v>948.03804878048777</v>
      </c>
      <c r="I22" s="104">
        <f t="shared" si="1"/>
        <v>948.03804878048777</v>
      </c>
      <c r="J22" s="106" t="s">
        <v>568</v>
      </c>
      <c r="K22" s="106" t="s">
        <v>105</v>
      </c>
      <c r="L22" s="106" t="s">
        <v>101</v>
      </c>
      <c r="M22" s="27"/>
      <c r="N22" s="28" t="s">
        <v>456</v>
      </c>
      <c r="O22" s="28" t="s">
        <v>289</v>
      </c>
    </row>
    <row r="23" spans="1:15" s="148" customFormat="1" ht="48.75" customHeight="1" thickBot="1" x14ac:dyDescent="0.3">
      <c r="A23" s="138" t="str">
        <f>"Samlet antal sager: " &amp;COUNTA(Tabel3[Sagsnr.])</f>
        <v>Samlet antal sager: 21</v>
      </c>
      <c r="B23" s="144"/>
      <c r="C23" s="176" t="s">
        <v>386</v>
      </c>
      <c r="D23" s="176"/>
      <c r="E23" s="149">
        <f>AVERAGE(Tabel3[Aftalt leje, årlig]
)</f>
        <v>64068.07428571429</v>
      </c>
      <c r="F23" s="149">
        <f>AVERAGE(Tabel3[Godkendt leje, årlig]
)</f>
        <v>77611.910476190475</v>
      </c>
      <c r="G23" s="150">
        <f>AVERAGE(Tabel3[m²])</f>
        <v>100.9047619047619</v>
      </c>
      <c r="H23" s="149">
        <f>AVERAGE(Tabel3[Aftalt leje pr. m², årlig]
)</f>
        <v>651.84160549716398</v>
      </c>
      <c r="I23" s="149">
        <f>AVERAGE(Tabel3[Godkendt leje pr. m², årlig]
)</f>
        <v>774.75905779799166</v>
      </c>
      <c r="J23" s="145"/>
      <c r="K23" s="145"/>
      <c r="L23" s="145"/>
      <c r="M23" s="144"/>
      <c r="N23" s="146"/>
      <c r="O23" s="147"/>
    </row>
    <row r="25" spans="1:15" ht="50.25" customHeight="1" thickBot="1" x14ac:dyDescent="0.3">
      <c r="B25" s="55" t="s">
        <v>388</v>
      </c>
      <c r="C25" s="56">
        <f>COUNTA(Tabel3[Sagsnr.])</f>
        <v>21</v>
      </c>
      <c r="D25" s="57">
        <f>SUM(I25+N25)</f>
        <v>1</v>
      </c>
      <c r="E25" s="50"/>
      <c r="F25" s="177" t="s">
        <v>569</v>
      </c>
      <c r="G25" s="178"/>
      <c r="H25" s="65" cm="1">
        <f t="array" ref="H25">SUMPRODUCT(--(H2:H22&lt;I2:I22))</f>
        <v>17</v>
      </c>
      <c r="I25" s="66">
        <f>(H25/C25)</f>
        <v>0.80952380952380953</v>
      </c>
      <c r="J25" s="51"/>
      <c r="K25" s="177" t="s">
        <v>570</v>
      </c>
      <c r="L25" s="178"/>
      <c r="M25" s="67" cm="1">
        <f t="array" ref="M25">SUMPRODUCT(--(H2:H22=I2:I22))</f>
        <v>4</v>
      </c>
      <c r="N25" s="68">
        <f>(M25/C25)</f>
        <v>0.19047619047619047</v>
      </c>
    </row>
    <row r="26" spans="1:15" ht="50.25" customHeight="1" x14ac:dyDescent="0.25">
      <c r="B26" s="58" t="s">
        <v>391</v>
      </c>
      <c r="C26" s="59">
        <f>H23</f>
        <v>651.84160549716398</v>
      </c>
      <c r="D26" s="60" t="s">
        <v>392</v>
      </c>
      <c r="E26" s="50"/>
      <c r="F26" s="189" t="s">
        <v>391</v>
      </c>
      <c r="G26" s="190"/>
      <c r="H26" s="81" cm="1">
        <f t="array" ref="H26">AVERAGE(IF(I2:I22&gt;H2:H22,H2:H22))</f>
        <v>613.03192020024358</v>
      </c>
      <c r="I26" s="60" t="s">
        <v>392</v>
      </c>
      <c r="J26" s="51"/>
      <c r="K26" s="179" t="s">
        <v>393</v>
      </c>
      <c r="L26" s="180"/>
      <c r="M26" s="64" cm="1">
        <f t="array" ref="M26">AVERAGE(IF(I2:I22=H2:H22,H2:H22))</f>
        <v>816.78276800907543</v>
      </c>
      <c r="N26" s="60" t="s">
        <v>392</v>
      </c>
    </row>
    <row r="27" spans="1:15" ht="50.25" customHeight="1" x14ac:dyDescent="0.25">
      <c r="B27" s="61" t="s">
        <v>394</v>
      </c>
      <c r="C27" s="59">
        <f>I23</f>
        <v>774.75905779799166</v>
      </c>
      <c r="D27" s="60" t="s">
        <v>392</v>
      </c>
      <c r="E27" s="50"/>
      <c r="F27" s="182" t="s">
        <v>394</v>
      </c>
      <c r="G27" s="188"/>
      <c r="H27" s="82" cm="1">
        <f t="array" ref="H27">AVERAGE(IF(H2:H22&lt;I2:I22,I2:I22))</f>
        <v>764.87112598361909</v>
      </c>
      <c r="I27" s="60" t="s">
        <v>392</v>
      </c>
      <c r="J27" s="50"/>
      <c r="K27" s="50"/>
      <c r="L27" s="50"/>
      <c r="M27" s="50"/>
      <c r="N27" s="50"/>
    </row>
    <row r="28" spans="1:15" ht="50.25" customHeight="1" x14ac:dyDescent="0.25">
      <c r="B28" s="62" t="s">
        <v>395</v>
      </c>
      <c r="C28" s="59">
        <f>(I23-H23)</f>
        <v>122.91745230082768</v>
      </c>
      <c r="D28" s="60" t="s">
        <v>392</v>
      </c>
      <c r="E28" s="50"/>
      <c r="F28" s="182" t="s">
        <v>396</v>
      </c>
      <c r="G28" s="188"/>
      <c r="H28" s="83">
        <f>(H27-H26)</f>
        <v>151.83920578337552</v>
      </c>
      <c r="I28" s="60" t="s">
        <v>392</v>
      </c>
      <c r="J28" s="50"/>
      <c r="K28" s="50"/>
      <c r="L28" s="50"/>
      <c r="M28" s="50"/>
      <c r="N28" s="50"/>
    </row>
    <row r="29" spans="1:15" ht="50.25" customHeight="1" x14ac:dyDescent="0.25">
      <c r="B29" s="62" t="s">
        <v>397</v>
      </c>
      <c r="C29" s="63">
        <f>(I23-H23)/H23</f>
        <v>0.1885695102371959</v>
      </c>
      <c r="D29" s="60" t="s">
        <v>392</v>
      </c>
      <c r="E29" s="50"/>
      <c r="F29" s="182" t="s">
        <v>398</v>
      </c>
      <c r="G29" s="188"/>
      <c r="H29" s="84">
        <f>(H27-H26)/H26</f>
        <v>0.24768564373251242</v>
      </c>
      <c r="I29" s="60" t="s">
        <v>392</v>
      </c>
      <c r="J29" s="50"/>
      <c r="K29" s="50"/>
      <c r="L29" s="50"/>
      <c r="M29" s="51"/>
      <c r="N29" s="51"/>
    </row>
  </sheetData>
  <sheetProtection sort="0"/>
  <mergeCells count="8">
    <mergeCell ref="C23:D23"/>
    <mergeCell ref="K25:L25"/>
    <mergeCell ref="K26:L26"/>
    <mergeCell ref="F29:G29"/>
    <mergeCell ref="F27:G27"/>
    <mergeCell ref="F28:G28"/>
    <mergeCell ref="F25:G25"/>
    <mergeCell ref="F26:G26"/>
  </mergeCells>
  <phoneticPr fontId="32" type="noConversion"/>
  <dataValidations count="1">
    <dataValidation type="custom" allowBlank="1" showInputMessage="1" showErrorMessage="1" sqref="C1" xr:uid="{5B1CEBEA-E352-4F86-BD09-BB3C494125C6}">
      <formula1>"København S"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5A58-59CC-4E8C-9969-8CC18D76C37B}">
  <sheetPr>
    <pageSetUpPr fitToPage="1"/>
  </sheetPr>
  <dimension ref="A1:N41"/>
  <sheetViews>
    <sheetView zoomScale="145" zoomScaleNormal="145" workbookViewId="0">
      <pane ySplit="1" topLeftCell="A2" activePane="bottomLeft" state="frozen"/>
      <selection activeCell="D1" sqref="D1"/>
      <selection pane="bottomLeft" activeCell="B30" sqref="B30"/>
    </sheetView>
  </sheetViews>
  <sheetFormatPr defaultRowHeight="15" x14ac:dyDescent="0.25"/>
  <cols>
    <col min="1" max="1" width="20.85546875" customWidth="1"/>
    <col min="2" max="2" width="35.42578125" customWidth="1"/>
    <col min="3" max="3" width="20" customWidth="1"/>
    <col min="4" max="4" width="11.85546875" customWidth="1"/>
    <col min="5" max="5" width="20.5703125" customWidth="1"/>
    <col min="6" max="6" width="18.5703125" customWidth="1"/>
    <col min="7" max="7" width="8.85546875" customWidth="1"/>
    <col min="8" max="8" width="17" customWidth="1"/>
    <col min="9" max="9" width="18" customWidth="1"/>
    <col min="10" max="10" width="34.7109375" customWidth="1"/>
    <col min="11" max="11" width="29.5703125" customWidth="1"/>
    <col min="12" max="12" width="24.42578125" customWidth="1"/>
    <col min="13" max="13" width="32" customWidth="1"/>
    <col min="14" max="14" width="25" customWidth="1"/>
  </cols>
  <sheetData>
    <row r="1" spans="1:14" s="173" customFormat="1" ht="31.5" x14ac:dyDescent="0.25">
      <c r="A1" s="170" t="s">
        <v>0</v>
      </c>
      <c r="B1" s="164" t="s">
        <v>1</v>
      </c>
      <c r="C1" s="164" t="s">
        <v>2</v>
      </c>
      <c r="D1" s="164" t="s">
        <v>3</v>
      </c>
      <c r="E1" s="164" t="s">
        <v>87</v>
      </c>
      <c r="F1" s="164" t="s">
        <v>88</v>
      </c>
      <c r="G1" s="171" t="s">
        <v>89</v>
      </c>
      <c r="H1" s="164" t="s">
        <v>571</v>
      </c>
      <c r="I1" s="164" t="s">
        <v>572</v>
      </c>
      <c r="J1" s="164" t="s">
        <v>92</v>
      </c>
      <c r="K1" s="164" t="s">
        <v>93</v>
      </c>
      <c r="L1" s="164" t="s">
        <v>573</v>
      </c>
      <c r="M1" s="164" t="s">
        <v>401</v>
      </c>
      <c r="N1" s="164" t="s">
        <v>11</v>
      </c>
    </row>
    <row r="2" spans="1:14" x14ac:dyDescent="0.25">
      <c r="A2" s="28" t="s">
        <v>574</v>
      </c>
      <c r="B2" s="27" t="s">
        <v>575</v>
      </c>
      <c r="C2" s="28" t="s">
        <v>21</v>
      </c>
      <c r="D2" s="28" t="s">
        <v>15</v>
      </c>
      <c r="E2" s="108">
        <v>76200</v>
      </c>
      <c r="F2" s="108">
        <v>60000</v>
      </c>
      <c r="G2" s="85">
        <v>14</v>
      </c>
      <c r="H2" s="174">
        <f t="shared" ref="H2:H30" si="0">SUM(E2/12)</f>
        <v>6350</v>
      </c>
      <c r="I2" s="110">
        <f t="shared" ref="I2:I30" si="1">SUM(F2/12)</f>
        <v>5000</v>
      </c>
      <c r="J2" s="28" t="s">
        <v>499</v>
      </c>
      <c r="K2" s="28" t="s">
        <v>105</v>
      </c>
      <c r="L2" s="28" t="s">
        <v>576</v>
      </c>
      <c r="M2" s="28" t="s">
        <v>577</v>
      </c>
      <c r="N2" s="28" t="s">
        <v>375</v>
      </c>
    </row>
    <row r="3" spans="1:14" ht="28.5" x14ac:dyDescent="0.25">
      <c r="A3" s="28" t="s">
        <v>578</v>
      </c>
      <c r="B3" s="27" t="s">
        <v>579</v>
      </c>
      <c r="C3" s="28" t="s">
        <v>21</v>
      </c>
      <c r="D3" s="28" t="s">
        <v>15</v>
      </c>
      <c r="E3" s="108">
        <v>96000</v>
      </c>
      <c r="F3" s="108">
        <v>84000</v>
      </c>
      <c r="G3" s="85">
        <v>22</v>
      </c>
      <c r="H3" s="174">
        <f t="shared" si="0"/>
        <v>8000</v>
      </c>
      <c r="I3" s="110">
        <f t="shared" si="1"/>
        <v>7000</v>
      </c>
      <c r="J3" s="28" t="s">
        <v>141</v>
      </c>
      <c r="K3" s="28" t="s">
        <v>100</v>
      </c>
      <c r="L3" s="28" t="s">
        <v>576</v>
      </c>
      <c r="M3" s="27" t="s">
        <v>580</v>
      </c>
      <c r="N3" s="28" t="s">
        <v>457</v>
      </c>
    </row>
    <row r="4" spans="1:14" x14ac:dyDescent="0.25">
      <c r="A4" s="28" t="s">
        <v>581</v>
      </c>
      <c r="B4" s="27" t="s">
        <v>582</v>
      </c>
      <c r="C4" s="28" t="s">
        <v>21</v>
      </c>
      <c r="D4" s="28" t="s">
        <v>15</v>
      </c>
      <c r="E4" s="151">
        <v>96000</v>
      </c>
      <c r="F4" s="151">
        <v>63000</v>
      </c>
      <c r="G4" s="152">
        <v>15</v>
      </c>
      <c r="H4" s="174">
        <f t="shared" si="0"/>
        <v>8000</v>
      </c>
      <c r="I4" s="110">
        <f t="shared" si="1"/>
        <v>5250</v>
      </c>
      <c r="J4" s="28" t="s">
        <v>583</v>
      </c>
      <c r="K4" s="28" t="s">
        <v>105</v>
      </c>
      <c r="L4" s="28" t="s">
        <v>584</v>
      </c>
      <c r="M4" s="28" t="s">
        <v>577</v>
      </c>
      <c r="N4" s="28" t="s">
        <v>289</v>
      </c>
    </row>
    <row r="5" spans="1:14" x14ac:dyDescent="0.25">
      <c r="A5" s="28" t="s">
        <v>585</v>
      </c>
      <c r="B5" s="28" t="s">
        <v>586</v>
      </c>
      <c r="C5" s="28" t="s">
        <v>183</v>
      </c>
      <c r="D5" s="28" t="s">
        <v>15</v>
      </c>
      <c r="E5" s="108">
        <v>63600</v>
      </c>
      <c r="F5" s="108">
        <v>44400</v>
      </c>
      <c r="G5" s="85">
        <v>11</v>
      </c>
      <c r="H5" s="174">
        <f t="shared" si="0"/>
        <v>5300</v>
      </c>
      <c r="I5" s="110">
        <f t="shared" si="1"/>
        <v>3700</v>
      </c>
      <c r="J5" s="28" t="s">
        <v>122</v>
      </c>
      <c r="K5" s="28" t="s">
        <v>105</v>
      </c>
      <c r="L5" s="28" t="s">
        <v>576</v>
      </c>
      <c r="M5" s="28" t="s">
        <v>577</v>
      </c>
      <c r="N5" s="28" t="s">
        <v>587</v>
      </c>
    </row>
    <row r="6" spans="1:14" x14ac:dyDescent="0.25">
      <c r="A6" s="28" t="s">
        <v>588</v>
      </c>
      <c r="B6" s="28" t="s">
        <v>589</v>
      </c>
      <c r="C6" s="28" t="s">
        <v>246</v>
      </c>
      <c r="D6" s="28" t="s">
        <v>15</v>
      </c>
      <c r="E6" s="109">
        <v>54000</v>
      </c>
      <c r="F6" s="109">
        <v>54000</v>
      </c>
      <c r="G6" s="28">
        <v>16</v>
      </c>
      <c r="H6" s="174">
        <f t="shared" si="0"/>
        <v>4500</v>
      </c>
      <c r="I6" s="110">
        <f t="shared" si="1"/>
        <v>4500</v>
      </c>
      <c r="J6" s="28" t="s">
        <v>590</v>
      </c>
      <c r="K6" s="28" t="s">
        <v>105</v>
      </c>
      <c r="L6" s="28" t="s">
        <v>576</v>
      </c>
      <c r="M6" s="28" t="s">
        <v>591</v>
      </c>
      <c r="N6" s="28" t="s">
        <v>592</v>
      </c>
    </row>
    <row r="7" spans="1:14" x14ac:dyDescent="0.25">
      <c r="A7" s="28" t="s">
        <v>593</v>
      </c>
      <c r="B7" s="28" t="s">
        <v>589</v>
      </c>
      <c r="C7" s="28" t="s">
        <v>246</v>
      </c>
      <c r="D7" s="28" t="s">
        <v>15</v>
      </c>
      <c r="E7" s="109">
        <v>54000</v>
      </c>
      <c r="F7" s="109">
        <v>54000</v>
      </c>
      <c r="G7" s="28">
        <v>16</v>
      </c>
      <c r="H7" s="174">
        <f t="shared" si="0"/>
        <v>4500</v>
      </c>
      <c r="I7" s="110">
        <f t="shared" si="1"/>
        <v>4500</v>
      </c>
      <c r="J7" s="28" t="s">
        <v>216</v>
      </c>
      <c r="K7" s="28" t="s">
        <v>105</v>
      </c>
      <c r="L7" s="28" t="s">
        <v>576</v>
      </c>
      <c r="M7" s="28" t="s">
        <v>591</v>
      </c>
      <c r="N7" s="28" t="s">
        <v>592</v>
      </c>
    </row>
    <row r="8" spans="1:14" x14ac:dyDescent="0.25">
      <c r="A8" s="28" t="s">
        <v>594</v>
      </c>
      <c r="B8" s="27" t="s">
        <v>595</v>
      </c>
      <c r="C8" s="28" t="s">
        <v>246</v>
      </c>
      <c r="D8" s="28" t="s">
        <v>15</v>
      </c>
      <c r="E8" s="108">
        <v>100800</v>
      </c>
      <c r="F8" s="108">
        <v>72000</v>
      </c>
      <c r="G8" s="85">
        <v>17.25</v>
      </c>
      <c r="H8" s="174">
        <f t="shared" si="0"/>
        <v>8400</v>
      </c>
      <c r="I8" s="110">
        <f t="shared" si="1"/>
        <v>6000</v>
      </c>
      <c r="J8" s="28" t="s">
        <v>596</v>
      </c>
      <c r="K8" s="28" t="s">
        <v>100</v>
      </c>
      <c r="L8" s="28" t="s">
        <v>576</v>
      </c>
      <c r="M8" s="28" t="s">
        <v>577</v>
      </c>
      <c r="N8" s="28" t="s">
        <v>337</v>
      </c>
    </row>
    <row r="9" spans="1:14" x14ac:dyDescent="0.25">
      <c r="A9" s="28" t="s">
        <v>597</v>
      </c>
      <c r="B9" s="27" t="s">
        <v>598</v>
      </c>
      <c r="C9" s="28" t="s">
        <v>246</v>
      </c>
      <c r="D9" s="28" t="s">
        <v>15</v>
      </c>
      <c r="E9" s="108">
        <v>82800</v>
      </c>
      <c r="F9" s="108">
        <v>72000</v>
      </c>
      <c r="G9" s="85">
        <v>9</v>
      </c>
      <c r="H9" s="174">
        <f t="shared" si="0"/>
        <v>6900</v>
      </c>
      <c r="I9" s="110">
        <f t="shared" si="1"/>
        <v>6000</v>
      </c>
      <c r="J9" s="28" t="s">
        <v>599</v>
      </c>
      <c r="K9" s="28" t="s">
        <v>105</v>
      </c>
      <c r="L9" s="28" t="s">
        <v>576</v>
      </c>
      <c r="M9" s="28" t="s">
        <v>577</v>
      </c>
      <c r="N9" s="28" t="s">
        <v>173</v>
      </c>
    </row>
    <row r="10" spans="1:14" x14ac:dyDescent="0.25">
      <c r="A10" s="28" t="s">
        <v>600</v>
      </c>
      <c r="B10" s="28" t="s">
        <v>601</v>
      </c>
      <c r="C10" s="28" t="s">
        <v>36</v>
      </c>
      <c r="D10" s="28" t="s">
        <v>15</v>
      </c>
      <c r="E10" s="109">
        <v>60000</v>
      </c>
      <c r="F10" s="109">
        <v>60000</v>
      </c>
      <c r="G10" s="28">
        <v>15</v>
      </c>
      <c r="H10" s="174">
        <f t="shared" si="0"/>
        <v>5000</v>
      </c>
      <c r="I10" s="110">
        <f t="shared" si="1"/>
        <v>5000</v>
      </c>
      <c r="J10" s="28" t="s">
        <v>367</v>
      </c>
      <c r="K10" s="28" t="s">
        <v>105</v>
      </c>
      <c r="L10" s="28" t="s">
        <v>576</v>
      </c>
      <c r="M10" s="28" t="s">
        <v>577</v>
      </c>
      <c r="N10" s="28" t="s">
        <v>199</v>
      </c>
    </row>
    <row r="11" spans="1:14" x14ac:dyDescent="0.25">
      <c r="A11" s="28" t="s">
        <v>602</v>
      </c>
      <c r="B11" s="28" t="s">
        <v>603</v>
      </c>
      <c r="C11" s="28" t="s">
        <v>14</v>
      </c>
      <c r="D11" s="28" t="s">
        <v>15</v>
      </c>
      <c r="E11" s="108">
        <v>77400</v>
      </c>
      <c r="F11" s="108">
        <v>77400</v>
      </c>
      <c r="G11" s="85">
        <v>20</v>
      </c>
      <c r="H11" s="174">
        <f t="shared" si="0"/>
        <v>6450</v>
      </c>
      <c r="I11" s="110">
        <f t="shared" si="1"/>
        <v>6450</v>
      </c>
      <c r="J11" s="28" t="s">
        <v>604</v>
      </c>
      <c r="K11" s="28" t="s">
        <v>100</v>
      </c>
      <c r="L11" s="28" t="s">
        <v>576</v>
      </c>
      <c r="M11" s="28" t="s">
        <v>577</v>
      </c>
      <c r="N11" s="28" t="s">
        <v>587</v>
      </c>
    </row>
    <row r="12" spans="1:14" x14ac:dyDescent="0.25">
      <c r="A12" s="28" t="s">
        <v>605</v>
      </c>
      <c r="B12" s="28" t="s">
        <v>606</v>
      </c>
      <c r="C12" s="28" t="s">
        <v>14</v>
      </c>
      <c r="D12" s="28" t="s">
        <v>15</v>
      </c>
      <c r="E12" s="108">
        <v>66000</v>
      </c>
      <c r="F12" s="108">
        <v>48000</v>
      </c>
      <c r="G12" s="85">
        <v>20</v>
      </c>
      <c r="H12" s="174">
        <f t="shared" si="0"/>
        <v>5500</v>
      </c>
      <c r="I12" s="110">
        <f t="shared" si="1"/>
        <v>4000</v>
      </c>
      <c r="J12" s="28" t="s">
        <v>150</v>
      </c>
      <c r="K12" s="28" t="s">
        <v>105</v>
      </c>
      <c r="L12" s="28" t="s">
        <v>576</v>
      </c>
      <c r="M12" s="28" t="s">
        <v>591</v>
      </c>
      <c r="N12" s="28" t="s">
        <v>18</v>
      </c>
    </row>
    <row r="13" spans="1:14" x14ac:dyDescent="0.25">
      <c r="A13" s="28" t="s">
        <v>607</v>
      </c>
      <c r="B13" s="28" t="s">
        <v>344</v>
      </c>
      <c r="C13" s="28" t="s">
        <v>14</v>
      </c>
      <c r="D13" s="28" t="s">
        <v>15</v>
      </c>
      <c r="E13" s="108">
        <v>62400</v>
      </c>
      <c r="F13" s="108">
        <v>48000</v>
      </c>
      <c r="G13" s="85">
        <v>13.4</v>
      </c>
      <c r="H13" s="174">
        <f t="shared" si="0"/>
        <v>5200</v>
      </c>
      <c r="I13" s="110">
        <f t="shared" si="1"/>
        <v>4000</v>
      </c>
      <c r="J13" s="28" t="s">
        <v>179</v>
      </c>
      <c r="K13" s="28" t="s">
        <v>105</v>
      </c>
      <c r="L13" s="28" t="s">
        <v>576</v>
      </c>
      <c r="M13" s="28" t="s">
        <v>591</v>
      </c>
      <c r="N13" s="28" t="s">
        <v>195</v>
      </c>
    </row>
    <row r="14" spans="1:14" x14ac:dyDescent="0.25">
      <c r="A14" s="28" t="s">
        <v>608</v>
      </c>
      <c r="B14" s="28" t="s">
        <v>296</v>
      </c>
      <c r="C14" s="28" t="s">
        <v>14</v>
      </c>
      <c r="D14" s="28" t="s">
        <v>15</v>
      </c>
      <c r="E14" s="109">
        <v>74400</v>
      </c>
      <c r="F14" s="109">
        <v>60000</v>
      </c>
      <c r="G14" s="28">
        <v>19</v>
      </c>
      <c r="H14" s="174">
        <f t="shared" si="0"/>
        <v>6200</v>
      </c>
      <c r="I14" s="110">
        <f t="shared" si="1"/>
        <v>5000</v>
      </c>
      <c r="J14" s="28" t="s">
        <v>58</v>
      </c>
      <c r="K14" s="28" t="s">
        <v>100</v>
      </c>
      <c r="L14" s="28" t="s">
        <v>576</v>
      </c>
      <c r="M14" s="28" t="s">
        <v>577</v>
      </c>
      <c r="N14" s="28" t="s">
        <v>311</v>
      </c>
    </row>
    <row r="15" spans="1:14" x14ac:dyDescent="0.25">
      <c r="A15" s="28" t="s">
        <v>609</v>
      </c>
      <c r="B15" s="28" t="s">
        <v>315</v>
      </c>
      <c r="C15" s="28" t="s">
        <v>14</v>
      </c>
      <c r="D15" s="28" t="s">
        <v>15</v>
      </c>
      <c r="E15" s="109">
        <v>60000</v>
      </c>
      <c r="F15" s="109">
        <v>48000</v>
      </c>
      <c r="G15" s="28">
        <v>11</v>
      </c>
      <c r="H15" s="174">
        <f t="shared" si="0"/>
        <v>5000</v>
      </c>
      <c r="I15" s="110">
        <f t="shared" si="1"/>
        <v>4000</v>
      </c>
      <c r="J15" s="28" t="s">
        <v>610</v>
      </c>
      <c r="K15" s="28" t="s">
        <v>100</v>
      </c>
      <c r="L15" s="28" t="s">
        <v>584</v>
      </c>
      <c r="M15" s="28" t="s">
        <v>577</v>
      </c>
      <c r="N15" s="28" t="s">
        <v>611</v>
      </c>
    </row>
    <row r="16" spans="1:14" x14ac:dyDescent="0.25">
      <c r="A16" s="28" t="s">
        <v>612</v>
      </c>
      <c r="B16" s="28" t="s">
        <v>315</v>
      </c>
      <c r="C16" s="28" t="s">
        <v>14</v>
      </c>
      <c r="D16" s="28" t="s">
        <v>15</v>
      </c>
      <c r="E16" s="109">
        <v>60000</v>
      </c>
      <c r="F16" s="109">
        <v>48000</v>
      </c>
      <c r="G16" s="28">
        <v>12</v>
      </c>
      <c r="H16" s="174">
        <f t="shared" si="0"/>
        <v>5000</v>
      </c>
      <c r="I16" s="110">
        <f t="shared" si="1"/>
        <v>4000</v>
      </c>
      <c r="J16" s="28" t="s">
        <v>251</v>
      </c>
      <c r="K16" s="28" t="s">
        <v>100</v>
      </c>
      <c r="L16" s="28" t="s">
        <v>584</v>
      </c>
      <c r="M16" s="28" t="s">
        <v>577</v>
      </c>
      <c r="N16" s="28" t="s">
        <v>611</v>
      </c>
    </row>
    <row r="17" spans="1:14" x14ac:dyDescent="0.25">
      <c r="A17" s="28" t="s">
        <v>613</v>
      </c>
      <c r="B17" s="28" t="s">
        <v>315</v>
      </c>
      <c r="C17" s="28" t="s">
        <v>14</v>
      </c>
      <c r="D17" s="28" t="s">
        <v>15</v>
      </c>
      <c r="E17" s="109">
        <v>60000</v>
      </c>
      <c r="F17" s="109">
        <v>48000</v>
      </c>
      <c r="G17" s="28">
        <v>12</v>
      </c>
      <c r="H17" s="174">
        <f t="shared" si="0"/>
        <v>5000</v>
      </c>
      <c r="I17" s="110">
        <f t="shared" si="1"/>
        <v>4000</v>
      </c>
      <c r="J17" s="28" t="s">
        <v>614</v>
      </c>
      <c r="K17" s="28" t="s">
        <v>100</v>
      </c>
      <c r="L17" s="28" t="s">
        <v>584</v>
      </c>
      <c r="M17" s="28" t="s">
        <v>577</v>
      </c>
      <c r="N17" s="28" t="s">
        <v>611</v>
      </c>
    </row>
    <row r="18" spans="1:14" x14ac:dyDescent="0.25">
      <c r="A18" s="28" t="s">
        <v>615</v>
      </c>
      <c r="B18" s="28" t="s">
        <v>315</v>
      </c>
      <c r="C18" s="28" t="s">
        <v>14</v>
      </c>
      <c r="D18" s="28" t="s">
        <v>15</v>
      </c>
      <c r="E18" s="109">
        <v>60000</v>
      </c>
      <c r="F18" s="109">
        <v>48000</v>
      </c>
      <c r="G18" s="28">
        <v>12.4</v>
      </c>
      <c r="H18" s="174">
        <f t="shared" si="0"/>
        <v>5000</v>
      </c>
      <c r="I18" s="110">
        <f t="shared" si="1"/>
        <v>4000</v>
      </c>
      <c r="J18" s="28" t="s">
        <v>616</v>
      </c>
      <c r="K18" s="28" t="s">
        <v>105</v>
      </c>
      <c r="L18" s="28" t="s">
        <v>584</v>
      </c>
      <c r="M18" s="28" t="s">
        <v>577</v>
      </c>
      <c r="N18" s="28" t="s">
        <v>611</v>
      </c>
    </row>
    <row r="19" spans="1:14" x14ac:dyDescent="0.25">
      <c r="A19" s="28" t="s">
        <v>617</v>
      </c>
      <c r="B19" s="28" t="s">
        <v>618</v>
      </c>
      <c r="C19" s="28" t="s">
        <v>14</v>
      </c>
      <c r="D19" s="28" t="s">
        <v>15</v>
      </c>
      <c r="E19" s="109">
        <v>60000</v>
      </c>
      <c r="F19" s="109">
        <v>48000</v>
      </c>
      <c r="G19" s="28">
        <v>12</v>
      </c>
      <c r="H19" s="174">
        <f t="shared" si="0"/>
        <v>5000</v>
      </c>
      <c r="I19" s="110">
        <f t="shared" si="1"/>
        <v>4000</v>
      </c>
      <c r="J19" s="28" t="s">
        <v>616</v>
      </c>
      <c r="K19" s="28" t="s">
        <v>105</v>
      </c>
      <c r="L19" s="28" t="s">
        <v>584</v>
      </c>
      <c r="M19" s="28" t="s">
        <v>577</v>
      </c>
      <c r="N19" s="28" t="s">
        <v>213</v>
      </c>
    </row>
    <row r="20" spans="1:14" x14ac:dyDescent="0.25">
      <c r="A20" s="28" t="s">
        <v>619</v>
      </c>
      <c r="B20" s="28" t="s">
        <v>315</v>
      </c>
      <c r="C20" s="28" t="s">
        <v>14</v>
      </c>
      <c r="D20" s="28" t="s">
        <v>15</v>
      </c>
      <c r="E20" s="109">
        <v>60000</v>
      </c>
      <c r="F20" s="109">
        <v>48000</v>
      </c>
      <c r="G20" s="28">
        <v>12</v>
      </c>
      <c r="H20" s="174">
        <f t="shared" si="0"/>
        <v>5000</v>
      </c>
      <c r="I20" s="110">
        <f t="shared" si="1"/>
        <v>4000</v>
      </c>
      <c r="J20" s="28" t="s">
        <v>616</v>
      </c>
      <c r="K20" s="28" t="s">
        <v>105</v>
      </c>
      <c r="L20" s="28" t="s">
        <v>584</v>
      </c>
      <c r="M20" s="28" t="s">
        <v>577</v>
      </c>
      <c r="N20" s="28" t="s">
        <v>213</v>
      </c>
    </row>
    <row r="21" spans="1:14" x14ac:dyDescent="0.25">
      <c r="A21" s="28" t="s">
        <v>620</v>
      </c>
      <c r="B21" s="28" t="s">
        <v>315</v>
      </c>
      <c r="C21" s="28" t="s">
        <v>14</v>
      </c>
      <c r="D21" s="28" t="s">
        <v>15</v>
      </c>
      <c r="E21" s="109">
        <v>60000</v>
      </c>
      <c r="F21" s="109">
        <v>48000</v>
      </c>
      <c r="G21" s="28">
        <v>13</v>
      </c>
      <c r="H21" s="174">
        <f t="shared" si="0"/>
        <v>5000</v>
      </c>
      <c r="I21" s="110">
        <f t="shared" si="1"/>
        <v>4000</v>
      </c>
      <c r="J21" s="28" t="s">
        <v>616</v>
      </c>
      <c r="K21" s="28" t="s">
        <v>105</v>
      </c>
      <c r="L21" s="28" t="s">
        <v>584</v>
      </c>
      <c r="M21" s="28" t="s">
        <v>577</v>
      </c>
      <c r="N21" s="28" t="s">
        <v>213</v>
      </c>
    </row>
    <row r="22" spans="1:14" x14ac:dyDescent="0.25">
      <c r="A22" s="28" t="s">
        <v>621</v>
      </c>
      <c r="B22" s="28" t="s">
        <v>315</v>
      </c>
      <c r="C22" s="28" t="s">
        <v>14</v>
      </c>
      <c r="D22" s="28" t="s">
        <v>15</v>
      </c>
      <c r="E22" s="109">
        <v>60000</v>
      </c>
      <c r="F22" s="109">
        <v>48000</v>
      </c>
      <c r="G22" s="28">
        <v>11</v>
      </c>
      <c r="H22" s="174">
        <f t="shared" si="0"/>
        <v>5000</v>
      </c>
      <c r="I22" s="110">
        <f t="shared" si="1"/>
        <v>4000</v>
      </c>
      <c r="J22" s="28" t="s">
        <v>616</v>
      </c>
      <c r="K22" s="28" t="s">
        <v>105</v>
      </c>
      <c r="L22" s="28" t="s">
        <v>584</v>
      </c>
      <c r="M22" s="28" t="s">
        <v>577</v>
      </c>
      <c r="N22" s="28" t="s">
        <v>611</v>
      </c>
    </row>
    <row r="23" spans="1:14" x14ac:dyDescent="0.25">
      <c r="A23" s="28" t="s">
        <v>622</v>
      </c>
      <c r="B23" s="28" t="s">
        <v>315</v>
      </c>
      <c r="C23" s="28" t="s">
        <v>14</v>
      </c>
      <c r="D23" s="28" t="s">
        <v>15</v>
      </c>
      <c r="E23" s="109">
        <v>60000</v>
      </c>
      <c r="F23" s="109">
        <v>48000</v>
      </c>
      <c r="G23" s="28">
        <v>14</v>
      </c>
      <c r="H23" s="174">
        <f t="shared" si="0"/>
        <v>5000</v>
      </c>
      <c r="I23" s="110">
        <f t="shared" si="1"/>
        <v>4000</v>
      </c>
      <c r="J23" s="28" t="s">
        <v>616</v>
      </c>
      <c r="K23" s="28" t="s">
        <v>105</v>
      </c>
      <c r="L23" s="28" t="s">
        <v>584</v>
      </c>
      <c r="M23" s="28" t="s">
        <v>577</v>
      </c>
      <c r="N23" s="28" t="s">
        <v>611</v>
      </c>
    </row>
    <row r="24" spans="1:14" x14ac:dyDescent="0.25">
      <c r="A24" s="28" t="s">
        <v>623</v>
      </c>
      <c r="B24" s="28" t="s">
        <v>315</v>
      </c>
      <c r="C24" s="28" t="s">
        <v>14</v>
      </c>
      <c r="D24" s="28" t="s">
        <v>15</v>
      </c>
      <c r="E24" s="109">
        <v>60000</v>
      </c>
      <c r="F24" s="109">
        <v>48000</v>
      </c>
      <c r="G24" s="28">
        <v>10</v>
      </c>
      <c r="H24" s="174">
        <f t="shared" si="0"/>
        <v>5000</v>
      </c>
      <c r="I24" s="110">
        <f t="shared" si="1"/>
        <v>4000</v>
      </c>
      <c r="J24" s="28" t="s">
        <v>616</v>
      </c>
      <c r="K24" s="28" t="s">
        <v>105</v>
      </c>
      <c r="L24" s="28" t="s">
        <v>584</v>
      </c>
      <c r="M24" s="28" t="s">
        <v>577</v>
      </c>
      <c r="N24" s="28" t="s">
        <v>611</v>
      </c>
    </row>
    <row r="25" spans="1:14" ht="15.75" thickBot="1" x14ac:dyDescent="0.3">
      <c r="A25" s="28" t="s">
        <v>624</v>
      </c>
      <c r="B25" s="28" t="s">
        <v>315</v>
      </c>
      <c r="C25" s="28" t="s">
        <v>14</v>
      </c>
      <c r="D25" s="28" t="s">
        <v>15</v>
      </c>
      <c r="E25" s="109">
        <v>60000</v>
      </c>
      <c r="F25" s="109">
        <v>48000</v>
      </c>
      <c r="G25" s="28">
        <v>13</v>
      </c>
      <c r="H25" s="174">
        <f t="shared" si="0"/>
        <v>5000</v>
      </c>
      <c r="I25" s="110">
        <f t="shared" si="1"/>
        <v>4000</v>
      </c>
      <c r="J25" s="28" t="s">
        <v>616</v>
      </c>
      <c r="K25" s="28" t="s">
        <v>105</v>
      </c>
      <c r="L25" s="28" t="s">
        <v>584</v>
      </c>
      <c r="M25" s="28" t="s">
        <v>577</v>
      </c>
      <c r="N25" s="28" t="s">
        <v>611</v>
      </c>
    </row>
    <row r="26" spans="1:14" x14ac:dyDescent="0.25">
      <c r="A26" s="140" t="s">
        <v>625</v>
      </c>
      <c r="B26" s="140" t="s">
        <v>315</v>
      </c>
      <c r="C26" s="28" t="s">
        <v>14</v>
      </c>
      <c r="D26" s="28" t="s">
        <v>15</v>
      </c>
      <c r="E26" s="109">
        <v>60000</v>
      </c>
      <c r="F26" s="109">
        <v>54000</v>
      </c>
      <c r="G26" s="28">
        <v>18</v>
      </c>
      <c r="H26" s="174">
        <f t="shared" si="0"/>
        <v>5000</v>
      </c>
      <c r="I26" s="110">
        <f t="shared" si="1"/>
        <v>4500</v>
      </c>
      <c r="J26" s="28" t="s">
        <v>616</v>
      </c>
      <c r="K26" s="28" t="s">
        <v>105</v>
      </c>
      <c r="L26" s="28" t="s">
        <v>584</v>
      </c>
      <c r="M26" s="28" t="s">
        <v>577</v>
      </c>
      <c r="N26" s="28" t="s">
        <v>611</v>
      </c>
    </row>
    <row r="27" spans="1:14" x14ac:dyDescent="0.25">
      <c r="A27" s="140" t="s">
        <v>626</v>
      </c>
      <c r="B27" s="140" t="s">
        <v>627</v>
      </c>
      <c r="C27" s="28" t="s">
        <v>14</v>
      </c>
      <c r="D27" s="28" t="s">
        <v>15</v>
      </c>
      <c r="E27" s="109">
        <v>60000</v>
      </c>
      <c r="F27" s="109">
        <v>54000</v>
      </c>
      <c r="G27" s="28">
        <v>18</v>
      </c>
      <c r="H27" s="174">
        <f t="shared" si="0"/>
        <v>5000</v>
      </c>
      <c r="I27" s="110">
        <f t="shared" si="1"/>
        <v>4500</v>
      </c>
      <c r="J27" s="28" t="s">
        <v>616</v>
      </c>
      <c r="K27" s="28" t="s">
        <v>105</v>
      </c>
      <c r="L27" s="28" t="s">
        <v>584</v>
      </c>
      <c r="M27" s="28" t="s">
        <v>591</v>
      </c>
      <c r="N27" s="28" t="s">
        <v>195</v>
      </c>
    </row>
    <row r="28" spans="1:14" x14ac:dyDescent="0.25">
      <c r="A28" s="140" t="s">
        <v>628</v>
      </c>
      <c r="B28" s="140" t="s">
        <v>629</v>
      </c>
      <c r="C28" s="28" t="s">
        <v>57</v>
      </c>
      <c r="D28" s="28" t="s">
        <v>15</v>
      </c>
      <c r="E28" s="108">
        <v>76800</v>
      </c>
      <c r="F28" s="108">
        <v>60000</v>
      </c>
      <c r="G28" s="85">
        <v>10</v>
      </c>
      <c r="H28" s="174">
        <f t="shared" si="0"/>
        <v>6400</v>
      </c>
      <c r="I28" s="110">
        <f t="shared" si="1"/>
        <v>5000</v>
      </c>
      <c r="J28" s="28" t="s">
        <v>616</v>
      </c>
      <c r="K28" s="28" t="s">
        <v>105</v>
      </c>
      <c r="L28" s="28" t="s">
        <v>576</v>
      </c>
      <c r="M28" s="28" t="s">
        <v>577</v>
      </c>
      <c r="N28" s="28" t="s">
        <v>630</v>
      </c>
    </row>
    <row r="29" spans="1:14" x14ac:dyDescent="0.25">
      <c r="A29" s="140" t="s">
        <v>631</v>
      </c>
      <c r="B29" s="140" t="s">
        <v>372</v>
      </c>
      <c r="C29" s="28" t="s">
        <v>57</v>
      </c>
      <c r="D29" s="28" t="s">
        <v>15</v>
      </c>
      <c r="E29" s="109">
        <v>66000</v>
      </c>
      <c r="F29" s="109">
        <v>36000</v>
      </c>
      <c r="G29" s="28">
        <v>8</v>
      </c>
      <c r="H29" s="174">
        <f t="shared" si="0"/>
        <v>5500</v>
      </c>
      <c r="I29" s="110">
        <f t="shared" si="1"/>
        <v>3000</v>
      </c>
      <c r="J29" s="28" t="s">
        <v>616</v>
      </c>
      <c r="K29" s="28" t="s">
        <v>105</v>
      </c>
      <c r="L29" s="28" t="s">
        <v>576</v>
      </c>
      <c r="M29" s="28" t="s">
        <v>591</v>
      </c>
      <c r="N29" s="28" t="s">
        <v>592</v>
      </c>
    </row>
    <row r="30" spans="1:14" ht="15.75" thickBot="1" x14ac:dyDescent="0.3">
      <c r="A30" s="141" t="s">
        <v>632</v>
      </c>
      <c r="B30" s="141" t="s">
        <v>633</v>
      </c>
      <c r="C30" s="28" t="s">
        <v>26</v>
      </c>
      <c r="D30" s="28" t="s">
        <v>15</v>
      </c>
      <c r="E30" s="108">
        <v>72000</v>
      </c>
      <c r="F30" s="108">
        <v>30000</v>
      </c>
      <c r="G30" s="85">
        <v>13</v>
      </c>
      <c r="H30" s="174">
        <f t="shared" si="0"/>
        <v>6000</v>
      </c>
      <c r="I30" s="110">
        <f t="shared" si="1"/>
        <v>2500</v>
      </c>
      <c r="J30" s="28" t="s">
        <v>634</v>
      </c>
      <c r="K30" s="28" t="s">
        <v>105</v>
      </c>
      <c r="L30" s="28" t="s">
        <v>576</v>
      </c>
      <c r="M30" s="28" t="s">
        <v>635</v>
      </c>
      <c r="N30" s="28" t="s">
        <v>175</v>
      </c>
    </row>
    <row r="31" spans="1:14" ht="40.5" customHeight="1" thickBot="1" x14ac:dyDescent="0.3">
      <c r="A31" s="138" t="str">
        <f>"Samlet antal sager: " &amp;COUNTA(Tabel4[Sagsnr.])</f>
        <v>Samlet antal sager: 29</v>
      </c>
      <c r="B31" s="133"/>
      <c r="C31" s="191" t="s">
        <v>386</v>
      </c>
      <c r="D31" s="191"/>
      <c r="E31" s="149">
        <f>AVERAGE(Tabel4[Aftalt leje, årlig])</f>
        <v>67531.034482758623</v>
      </c>
      <c r="F31" s="149">
        <f>AVERAGE(Tabel4[Godkendt leje, årlig])</f>
        <v>53751.724137931036</v>
      </c>
      <c r="G31" s="155">
        <f>AVERAGE(Tabel4[m²])</f>
        <v>14.036206896551725</v>
      </c>
      <c r="H31" s="149"/>
      <c r="I31" s="149">
        <f>AVERAGE(Tabel4[Godkendt leje pr. måned])</f>
        <v>4479.3103448275861</v>
      </c>
      <c r="J31" s="134"/>
      <c r="K31" s="134"/>
      <c r="L31" s="134"/>
      <c r="M31" s="153"/>
      <c r="N31" s="154"/>
    </row>
    <row r="32" spans="1:14" x14ac:dyDescent="0.25">
      <c r="A32" s="1"/>
      <c r="B32" s="1"/>
      <c r="C32" s="1"/>
      <c r="D32" s="1"/>
      <c r="E32" s="8"/>
      <c r="F32" s="8"/>
      <c r="G32" s="9"/>
      <c r="H32" s="8"/>
      <c r="I32" s="8"/>
    </row>
    <row r="33" spans="1:14" ht="50.25" customHeight="1" thickBot="1" x14ac:dyDescent="0.3">
      <c r="A33" s="52"/>
      <c r="B33" s="55" t="s">
        <v>388</v>
      </c>
      <c r="C33" s="56">
        <f>COUNTA(Tabel4[Sagsnr.])</f>
        <v>29</v>
      </c>
      <c r="D33" s="57">
        <f>SUM(I33+N33)</f>
        <v>0.86206896551724133</v>
      </c>
      <c r="E33" s="50"/>
      <c r="F33" s="177" t="s">
        <v>569</v>
      </c>
      <c r="G33" s="178"/>
      <c r="H33" s="65" cm="1">
        <f t="array" ref="H33">SUMPRODUCT(--(H2:H30&lt;I2:I30))</f>
        <v>0</v>
      </c>
      <c r="I33" s="66">
        <f>(H33/C33)</f>
        <v>0</v>
      </c>
      <c r="J33" s="51"/>
      <c r="K33" s="177" t="s">
        <v>389</v>
      </c>
      <c r="L33" s="178"/>
      <c r="M33" s="65" cm="1">
        <f t="array" ref="M33">SUMPRODUCT(--(H2:H30&gt;I2:I30))</f>
        <v>25</v>
      </c>
      <c r="N33" s="66">
        <f>(M33/C33)</f>
        <v>0.86206896551724133</v>
      </c>
    </row>
    <row r="34" spans="1:14" ht="50.25" customHeight="1" x14ac:dyDescent="0.25">
      <c r="A34" s="52"/>
      <c r="B34" s="58" t="s">
        <v>391</v>
      </c>
      <c r="C34" s="59">
        <f>H31</f>
        <v>0</v>
      </c>
      <c r="D34" s="60" t="s">
        <v>392</v>
      </c>
      <c r="E34" s="50"/>
      <c r="F34" s="189" t="s">
        <v>391</v>
      </c>
      <c r="G34" s="190"/>
      <c r="H34" s="81" t="e" cm="1">
        <f t="array" ref="H34">AVERAGE(IF(I2:I25&gt;H2:H25,H2:H25))</f>
        <v>#DIV/0!</v>
      </c>
      <c r="I34" s="60" t="s">
        <v>392</v>
      </c>
      <c r="J34" s="51"/>
      <c r="K34" s="179" t="s">
        <v>391</v>
      </c>
      <c r="L34" s="180"/>
      <c r="M34" s="81" cm="1">
        <f t="array" ref="M34">AVERAGE(IF(I2:I25&lt;H2:H25,H2:H25))</f>
        <v>5742.5</v>
      </c>
      <c r="N34" s="60" t="s">
        <v>392</v>
      </c>
    </row>
    <row r="35" spans="1:14" ht="50.25" customHeight="1" x14ac:dyDescent="0.25">
      <c r="A35" s="52"/>
      <c r="B35" s="61" t="s">
        <v>394</v>
      </c>
      <c r="C35" s="59">
        <f>I31</f>
        <v>4479.3103448275861</v>
      </c>
      <c r="D35" s="60" t="s">
        <v>392</v>
      </c>
      <c r="E35" s="50"/>
      <c r="F35" s="182" t="s">
        <v>394</v>
      </c>
      <c r="G35" s="188"/>
      <c r="H35" s="82" t="e" cm="1">
        <f t="array" ref="H35">AVERAGE(IF(H2:H30&lt;I2:I30,I2:I30))</f>
        <v>#DIV/0!</v>
      </c>
      <c r="I35" s="60" t="s">
        <v>392</v>
      </c>
      <c r="J35" s="50"/>
      <c r="K35" s="182" t="s">
        <v>394</v>
      </c>
      <c r="L35" s="183"/>
      <c r="M35" s="82" cm="1">
        <f t="array" ref="M35">AVERAGE(IF(I2:I30&lt;H2:H30,I2:I30))</f>
        <v>4378</v>
      </c>
      <c r="N35" s="60" t="s">
        <v>392</v>
      </c>
    </row>
    <row r="36" spans="1:14" ht="50.25" customHeight="1" x14ac:dyDescent="0.25">
      <c r="A36" s="52"/>
      <c r="B36" s="62" t="s">
        <v>395</v>
      </c>
      <c r="C36" s="59">
        <f>(I31-H31)</f>
        <v>4479.3103448275861</v>
      </c>
      <c r="D36" s="60" t="s">
        <v>392</v>
      </c>
      <c r="E36" s="50"/>
      <c r="F36" s="182" t="s">
        <v>396</v>
      </c>
      <c r="G36" s="188"/>
      <c r="H36" s="83" t="e">
        <f>(H35-H34)</f>
        <v>#DIV/0!</v>
      </c>
      <c r="I36" s="60" t="s">
        <v>392</v>
      </c>
      <c r="J36" s="50"/>
      <c r="K36" s="182" t="s">
        <v>396</v>
      </c>
      <c r="L36" s="183"/>
      <c r="M36" s="83">
        <f>(M35-M34)</f>
        <v>-1364.5</v>
      </c>
      <c r="N36" s="60" t="s">
        <v>392</v>
      </c>
    </row>
    <row r="37" spans="1:14" ht="50.25" customHeight="1" x14ac:dyDescent="0.25">
      <c r="A37" s="52"/>
      <c r="B37" s="62" t="s">
        <v>397</v>
      </c>
      <c r="C37" s="63" t="e">
        <f>(I31-H31)/H31</f>
        <v>#DIV/0!</v>
      </c>
      <c r="D37" s="60" t="s">
        <v>392</v>
      </c>
      <c r="E37" s="50"/>
      <c r="F37" s="182" t="s">
        <v>398</v>
      </c>
      <c r="G37" s="188"/>
      <c r="H37" s="84" t="e">
        <f>(H35-H34)/H34</f>
        <v>#DIV/0!</v>
      </c>
      <c r="I37" s="60" t="s">
        <v>392</v>
      </c>
      <c r="J37" s="50"/>
      <c r="K37" s="182" t="s">
        <v>398</v>
      </c>
      <c r="L37" s="183"/>
      <c r="M37" s="84">
        <f>(M35-M34)/M34</f>
        <v>-0.23761427949499347</v>
      </c>
      <c r="N37" s="60" t="s">
        <v>392</v>
      </c>
    </row>
    <row r="39" spans="1:14" ht="15.75" thickBot="1" x14ac:dyDescent="0.3"/>
    <row r="40" spans="1:14" ht="50.25" customHeight="1" thickBot="1" x14ac:dyDescent="0.3">
      <c r="F40" s="177" t="s">
        <v>390</v>
      </c>
      <c r="G40" s="178"/>
      <c r="H40" s="67" cm="1">
        <f t="array" ref="H40">SUMPRODUCT(--(H2:H25=I2:I25))</f>
        <v>4</v>
      </c>
      <c r="I40" s="68">
        <f>(H40/D33)</f>
        <v>4.6400000000000006</v>
      </c>
    </row>
    <row r="41" spans="1:14" ht="50.25" customHeight="1" x14ac:dyDescent="0.25">
      <c r="F41" s="179" t="s">
        <v>393</v>
      </c>
      <c r="G41" s="180"/>
      <c r="H41" s="64" t="e" cm="1">
        <f t="array" ref="H41">AVERAGE(IF(I14:I25=H14:H25,H14:H25))</f>
        <v>#DIV/0!</v>
      </c>
      <c r="I41" s="60" t="s">
        <v>392</v>
      </c>
    </row>
  </sheetData>
  <sheetProtection sort="0"/>
  <mergeCells count="13">
    <mergeCell ref="C31:D31"/>
    <mergeCell ref="F33:G33"/>
    <mergeCell ref="K33:L33"/>
    <mergeCell ref="K34:L34"/>
    <mergeCell ref="K35:L35"/>
    <mergeCell ref="K36:L36"/>
    <mergeCell ref="K37:L37"/>
    <mergeCell ref="F40:G40"/>
    <mergeCell ref="F34:G34"/>
    <mergeCell ref="F41:G41"/>
    <mergeCell ref="F35:G35"/>
    <mergeCell ref="F36:G36"/>
    <mergeCell ref="F37:G37"/>
  </mergeCells>
  <phoneticPr fontId="32" type="noConversion"/>
  <dataValidations count="1">
    <dataValidation type="custom" allowBlank="1" showInputMessage="1" showErrorMessage="1" sqref="C1:C12" xr:uid="{B1F2C622-CD52-4DAA-A723-481AE998B41E}">
      <formula1>"København S"</formula1>
    </dataValidation>
  </dataValidations>
  <pageMargins left="0.25" right="0.25" top="0.75" bottom="0.75" header="0.3" footer="0.3"/>
  <pageSetup paperSize="9" scale="5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1A9C-7E46-4B23-875A-056A7F850014}">
  <sheetPr>
    <pageSetUpPr fitToPage="1"/>
  </sheetPr>
  <dimension ref="A1:O10"/>
  <sheetViews>
    <sheetView zoomScale="130" zoomScaleNormal="130" workbookViewId="0">
      <selection activeCell="B10" sqref="B10"/>
    </sheetView>
  </sheetViews>
  <sheetFormatPr defaultRowHeight="19.5" customHeight="1" x14ac:dyDescent="0.25"/>
  <cols>
    <col min="1" max="1" width="20.85546875" bestFit="1" customWidth="1"/>
    <col min="2" max="2" width="31.28515625" customWidth="1"/>
    <col min="3" max="3" width="13.7109375" bestFit="1" customWidth="1"/>
    <col min="4" max="4" width="11.7109375" customWidth="1"/>
    <col min="5" max="5" width="14.42578125" bestFit="1" customWidth="1"/>
    <col min="6" max="6" width="8.42578125" customWidth="1"/>
    <col min="7" max="7" width="19.42578125" customWidth="1"/>
    <col min="8" max="8" width="20" customWidth="1"/>
    <col min="9" max="9" width="34.28515625" customWidth="1"/>
    <col min="10" max="10" width="29.7109375" customWidth="1"/>
    <col min="11" max="11" width="14.85546875" customWidth="1"/>
    <col min="12" max="12" width="19.7109375" bestFit="1" customWidth="1"/>
    <col min="13" max="13" width="27.7109375" customWidth="1"/>
    <col min="14" max="14" width="21.85546875" customWidth="1"/>
    <col min="15" max="15" width="16" customWidth="1"/>
  </cols>
  <sheetData>
    <row r="1" spans="1:15" s="88" customFormat="1" ht="31.5" x14ac:dyDescent="0.25">
      <c r="A1" s="170" t="s">
        <v>0</v>
      </c>
      <c r="B1" s="86" t="s">
        <v>1</v>
      </c>
      <c r="C1" s="86" t="s">
        <v>2</v>
      </c>
      <c r="D1" s="86" t="s">
        <v>3</v>
      </c>
      <c r="E1" s="86" t="s">
        <v>636</v>
      </c>
      <c r="F1" s="171" t="s">
        <v>89</v>
      </c>
      <c r="G1" s="163" t="s">
        <v>90</v>
      </c>
      <c r="H1" s="163" t="s">
        <v>88</v>
      </c>
      <c r="I1" s="163" t="s">
        <v>637</v>
      </c>
      <c r="J1" s="164" t="s">
        <v>93</v>
      </c>
      <c r="K1" s="164" t="s">
        <v>94</v>
      </c>
      <c r="L1" s="86" t="s">
        <v>10</v>
      </c>
      <c r="M1" s="86" t="s">
        <v>95</v>
      </c>
      <c r="N1" s="86" t="s">
        <v>11</v>
      </c>
    </row>
    <row r="2" spans="1:15" ht="15" x14ac:dyDescent="0.25">
      <c r="A2" s="95" t="s">
        <v>638</v>
      </c>
      <c r="B2" s="95" t="s">
        <v>639</v>
      </c>
      <c r="C2" s="26" t="s">
        <v>640</v>
      </c>
      <c r="D2" s="26" t="s">
        <v>15</v>
      </c>
      <c r="E2" s="26" t="s">
        <v>641</v>
      </c>
      <c r="F2" s="26">
        <v>56</v>
      </c>
      <c r="G2" s="94">
        <v>81350.539999999994</v>
      </c>
      <c r="H2" s="94">
        <f>SUM(27006.29+44472.54)</f>
        <v>71478.83</v>
      </c>
      <c r="I2" s="94">
        <f>SUM(H2/F2)</f>
        <v>1276.4076785714285</v>
      </c>
      <c r="J2" s="26" t="s">
        <v>100</v>
      </c>
      <c r="K2" s="26" t="s">
        <v>101</v>
      </c>
      <c r="L2" s="26"/>
      <c r="M2" s="26" t="s">
        <v>642</v>
      </c>
      <c r="N2" s="95" t="s">
        <v>195</v>
      </c>
      <c r="O2" s="53"/>
    </row>
    <row r="3" spans="1:15" ht="15" x14ac:dyDescent="0.25">
      <c r="A3" s="95" t="s">
        <v>643</v>
      </c>
      <c r="B3" s="95" t="s">
        <v>644</v>
      </c>
      <c r="C3" s="26" t="s">
        <v>534</v>
      </c>
      <c r="D3" s="26" t="s">
        <v>15</v>
      </c>
      <c r="E3" s="26" t="s">
        <v>645</v>
      </c>
      <c r="F3" s="26">
        <v>80</v>
      </c>
      <c r="G3" s="94">
        <v>1725</v>
      </c>
      <c r="H3" s="94">
        <v>103126.39999999999</v>
      </c>
      <c r="I3" s="94">
        <v>1289.08</v>
      </c>
      <c r="J3" s="26" t="s">
        <v>105</v>
      </c>
      <c r="K3" s="26" t="s">
        <v>101</v>
      </c>
      <c r="L3" s="26"/>
      <c r="M3" s="26" t="s">
        <v>646</v>
      </c>
      <c r="N3" s="95" t="s">
        <v>647</v>
      </c>
      <c r="O3" s="53"/>
    </row>
    <row r="4" spans="1:15" ht="15" x14ac:dyDescent="0.25">
      <c r="A4" s="95" t="s">
        <v>648</v>
      </c>
      <c r="B4" s="95" t="s">
        <v>48</v>
      </c>
      <c r="C4" s="26" t="s">
        <v>21</v>
      </c>
      <c r="D4" s="26" t="s">
        <v>15</v>
      </c>
      <c r="E4" s="26" t="s">
        <v>32</v>
      </c>
      <c r="F4" s="26">
        <v>42</v>
      </c>
      <c r="G4" s="93" t="s">
        <v>28</v>
      </c>
      <c r="H4" s="94">
        <f>SUM(F4*I4)</f>
        <v>38463.599999999999</v>
      </c>
      <c r="I4" s="94">
        <v>915.8</v>
      </c>
      <c r="J4" s="26" t="s">
        <v>105</v>
      </c>
      <c r="K4" s="26" t="s">
        <v>101</v>
      </c>
      <c r="L4" s="26"/>
      <c r="M4" s="26" t="s">
        <v>649</v>
      </c>
      <c r="N4" s="95" t="s">
        <v>321</v>
      </c>
      <c r="O4" s="53"/>
    </row>
    <row r="5" spans="1:15" ht="15" x14ac:dyDescent="0.25">
      <c r="A5" s="95" t="s">
        <v>650</v>
      </c>
      <c r="B5" s="95" t="s">
        <v>651</v>
      </c>
      <c r="C5" s="26" t="s">
        <v>21</v>
      </c>
      <c r="D5" s="26" t="s">
        <v>15</v>
      </c>
      <c r="E5" s="26" t="s">
        <v>63</v>
      </c>
      <c r="F5" s="26">
        <v>85</v>
      </c>
      <c r="G5" s="94">
        <v>1976</v>
      </c>
      <c r="H5" s="94">
        <v>67957.5</v>
      </c>
      <c r="I5" s="94">
        <f>SUM(H5/F5)</f>
        <v>799.5</v>
      </c>
      <c r="J5" s="26" t="s">
        <v>105</v>
      </c>
      <c r="K5" s="26" t="s">
        <v>101</v>
      </c>
      <c r="L5" s="26"/>
      <c r="M5" s="26" t="s">
        <v>652</v>
      </c>
      <c r="N5" s="95" t="s">
        <v>647</v>
      </c>
      <c r="O5" s="53"/>
    </row>
    <row r="6" spans="1:15" ht="15" x14ac:dyDescent="0.25">
      <c r="A6" s="95" t="s">
        <v>653</v>
      </c>
      <c r="B6" s="95" t="s">
        <v>35</v>
      </c>
      <c r="C6" s="26" t="s">
        <v>36</v>
      </c>
      <c r="D6" s="26" t="s">
        <v>15</v>
      </c>
      <c r="E6" s="26" t="s">
        <v>63</v>
      </c>
      <c r="F6" s="26">
        <v>118</v>
      </c>
      <c r="G6" s="94">
        <v>1250</v>
      </c>
      <c r="H6" s="94">
        <v>135615.29999999999</v>
      </c>
      <c r="I6" s="94">
        <f>SUM(H6/F6)</f>
        <v>1149.2822033898303</v>
      </c>
      <c r="J6" s="26" t="s">
        <v>105</v>
      </c>
      <c r="K6" s="26" t="s">
        <v>110</v>
      </c>
      <c r="L6" s="26"/>
      <c r="M6" s="26" t="s">
        <v>654</v>
      </c>
      <c r="N6" s="95" t="s">
        <v>180</v>
      </c>
      <c r="O6" s="53"/>
    </row>
    <row r="7" spans="1:15" ht="15" x14ac:dyDescent="0.25">
      <c r="A7" s="95" t="s">
        <v>655</v>
      </c>
      <c r="B7" s="95" t="s">
        <v>656</v>
      </c>
      <c r="C7" s="26" t="s">
        <v>36</v>
      </c>
      <c r="D7" s="26" t="s">
        <v>15</v>
      </c>
      <c r="E7" s="26" t="s">
        <v>77</v>
      </c>
      <c r="F7" s="26">
        <v>83</v>
      </c>
      <c r="G7" s="94">
        <v>928.26</v>
      </c>
      <c r="H7" s="94">
        <f>SUM(F7*I7)</f>
        <v>75757.13</v>
      </c>
      <c r="I7" s="94">
        <f>SUM(75196.05/83+6.76)</f>
        <v>912.73650602409646</v>
      </c>
      <c r="J7" s="26" t="s">
        <v>100</v>
      </c>
      <c r="K7" s="26" t="s">
        <v>110</v>
      </c>
      <c r="L7" s="26"/>
      <c r="M7" s="26" t="s">
        <v>657</v>
      </c>
      <c r="N7" s="95" t="s">
        <v>647</v>
      </c>
      <c r="O7" s="53"/>
    </row>
    <row r="8" spans="1:15" ht="15" x14ac:dyDescent="0.25">
      <c r="A8" s="95" t="s">
        <v>658</v>
      </c>
      <c r="B8" s="95" t="s">
        <v>659</v>
      </c>
      <c r="C8" s="26" t="s">
        <v>14</v>
      </c>
      <c r="D8" s="26" t="s">
        <v>15</v>
      </c>
      <c r="E8" s="26" t="s">
        <v>660</v>
      </c>
      <c r="F8" s="26">
        <v>62</v>
      </c>
      <c r="G8" s="94">
        <v>803.28</v>
      </c>
      <c r="H8" s="94">
        <f>SUM(33261.76+10000-292.64+49.6-207.7)</f>
        <v>42811.020000000004</v>
      </c>
      <c r="I8" s="94">
        <f>SUM(H8/F8)</f>
        <v>690.50032258064527</v>
      </c>
      <c r="J8" s="26" t="s">
        <v>100</v>
      </c>
      <c r="K8" s="26" t="s">
        <v>101</v>
      </c>
      <c r="L8" s="26"/>
      <c r="M8" s="26" t="s">
        <v>661</v>
      </c>
      <c r="N8" s="95" t="s">
        <v>662</v>
      </c>
      <c r="O8" s="53"/>
    </row>
    <row r="9" spans="1:15" ht="15" x14ac:dyDescent="0.25">
      <c r="A9" s="95" t="s">
        <v>663</v>
      </c>
      <c r="B9" s="95" t="s">
        <v>664</v>
      </c>
      <c r="C9" s="26" t="s">
        <v>14</v>
      </c>
      <c r="D9" s="26" t="s">
        <v>15</v>
      </c>
      <c r="E9" s="26" t="s">
        <v>63</v>
      </c>
      <c r="F9" s="26">
        <v>90</v>
      </c>
      <c r="G9" s="94">
        <v>718.67</v>
      </c>
      <c r="H9" s="94">
        <f>SUM(48283.2-424.8-301.5+12000)</f>
        <v>59556.899999999994</v>
      </c>
      <c r="I9" s="94">
        <f>SUM(H9/F9)</f>
        <v>661.74333333333323</v>
      </c>
      <c r="J9" s="26" t="s">
        <v>100</v>
      </c>
      <c r="K9" s="26" t="s">
        <v>101</v>
      </c>
      <c r="L9" s="26"/>
      <c r="M9" s="26" t="s">
        <v>474</v>
      </c>
      <c r="N9" s="95" t="s">
        <v>662</v>
      </c>
      <c r="O9" s="53"/>
    </row>
    <row r="10" spans="1:15" ht="15" x14ac:dyDescent="0.25">
      <c r="A10" s="95" t="s">
        <v>665</v>
      </c>
      <c r="B10" s="95" t="s">
        <v>666</v>
      </c>
      <c r="C10" s="26" t="s">
        <v>297</v>
      </c>
      <c r="D10" s="26" t="s">
        <v>15</v>
      </c>
      <c r="E10" s="26" t="s">
        <v>660</v>
      </c>
      <c r="F10" s="26">
        <v>63</v>
      </c>
      <c r="G10" s="93" t="s">
        <v>28</v>
      </c>
      <c r="H10" s="94">
        <v>48720.800000000003</v>
      </c>
      <c r="I10" s="94">
        <f>SUM(H10/F10)</f>
        <v>773.34603174603183</v>
      </c>
      <c r="J10" s="26" t="s">
        <v>100</v>
      </c>
      <c r="K10" s="26" t="s">
        <v>101</v>
      </c>
      <c r="L10" s="26"/>
      <c r="M10" s="26" t="s">
        <v>667</v>
      </c>
      <c r="N10" s="95" t="s">
        <v>507</v>
      </c>
      <c r="O10" s="53"/>
    </row>
  </sheetData>
  <sheetProtection sort="0"/>
  <pageMargins left="0.7" right="0.7" top="0.75" bottom="0.75" header="0.3" footer="0.3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5181a-9e0a-4e17-9f05-ab3c7a496cb4">
      <Terms xmlns="http://schemas.microsoft.com/office/infopath/2007/PartnerControls"/>
    </lcf76f155ced4ddcb4097134ff3c332f>
    <TaxCatchAll xmlns="0dd46b0f-e2c7-4a31-a61e-54a1e81a6d74" xsi:nil="true"/>
    <eDoc xmlns="fb25181a-9e0a-4e17-9f05-ab3c7a496c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CB7E7B15B9FE42BB77240F7AE744F1" ma:contentTypeVersion="22" ma:contentTypeDescription="Opret et nyt dokument." ma:contentTypeScope="" ma:versionID="f8ed8b26614edd85ce5f8156450784e3">
  <xsd:schema xmlns:xsd="http://www.w3.org/2001/XMLSchema" xmlns:xs="http://www.w3.org/2001/XMLSchema" xmlns:p="http://schemas.microsoft.com/office/2006/metadata/properties" xmlns:ns2="fb25181a-9e0a-4e17-9f05-ab3c7a496cb4" xmlns:ns3="9188f11e-0304-4c87-8c3c-f45887b5b571" xmlns:ns4="0dd46b0f-e2c7-4a31-a61e-54a1e81a6d74" targetNamespace="http://schemas.microsoft.com/office/2006/metadata/properties" ma:root="true" ma:fieldsID="4c5ff1b30b5ab7ea32fbee722cdb1bb6" ns2:_="" ns3:_="" ns4:_="">
    <xsd:import namespace="fb25181a-9e0a-4e17-9f05-ab3c7a496cb4"/>
    <xsd:import namespace="9188f11e-0304-4c87-8c3c-f45887b5b571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eDoc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5181a-9e0a-4e17-9f05-ab3c7a496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3" nillable="true" ma:displayName="eDoc" ma:internalName="eDoc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8f11e-0304-4c87-8c3c-f45887b5b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e429c55-61f5-4269-8edb-7acc12dd18d5}" ma:internalName="TaxCatchAll" ma:showField="CatchAllData" ma:web="9188f11e-0304-4c87-8c3c-f45887b5b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D0514-AFB3-4CA3-B893-4FA5E443E7B6}">
  <ds:schemaRefs>
    <ds:schemaRef ds:uri="http://schemas.microsoft.com/office/2006/metadata/properties"/>
    <ds:schemaRef ds:uri="http://schemas.microsoft.com/office/infopath/2007/PartnerControls"/>
    <ds:schemaRef ds:uri="fb25181a-9e0a-4e17-9f05-ab3c7a496cb4"/>
    <ds:schemaRef ds:uri="0dd46b0f-e2c7-4a31-a61e-54a1e81a6d74"/>
  </ds:schemaRefs>
</ds:datastoreItem>
</file>

<file path=customXml/itemProps2.xml><?xml version="1.0" encoding="utf-8"?>
<ds:datastoreItem xmlns:ds="http://schemas.openxmlformats.org/officeDocument/2006/customXml" ds:itemID="{F2DB166D-9300-4DF1-A50F-3C17E5C18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CB622-268A-40A8-9679-6431D642A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5181a-9e0a-4e17-9f05-ab3c7a496cb4"/>
    <ds:schemaRef ds:uri="9188f11e-0304-4c87-8c3c-f45887b5b571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OMK'er</vt:lpstr>
      <vt:lpstr>§ 19, stk. 2</vt:lpstr>
      <vt:lpstr>§ 32, småhuse</vt:lpstr>
      <vt:lpstr>§ 32, småhus - lejeforhøjelser</vt:lpstr>
      <vt:lpstr>Enkeltværelser</vt:lpstr>
      <vt:lpstr>§ 19, stk. 1 (03.09.06)</vt:lpstr>
    </vt:vector>
  </TitlesOfParts>
  <Manager/>
  <Company>Københavns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Kaster Schrøder</dc:creator>
  <cp:keywords/>
  <dc:description/>
  <cp:lastModifiedBy>Helene Gyldenlund Sloth</cp:lastModifiedBy>
  <cp:revision/>
  <dcterms:created xsi:type="dcterms:W3CDTF">2021-01-21T11:37:53Z</dcterms:created>
  <dcterms:modified xsi:type="dcterms:W3CDTF">2024-10-23T08:41:51Z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0x0101008BCB7E7B15B9FE42BB77240F7AE744F1</vt:lpwstr>
  </property>
  <property fmtid="{D5CDD505-2E9C-101B-9397-08002B2CF9AE}" pid="3" name="MediaServiceImageTags">
    <vt:lpwstr/>
  </property>
</Properties>
</file>